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60" yWindow="315" windowWidth="15480" windowHeight="7680" tabRatio="865" activeTab="13"/>
  </bookViews>
  <sheets>
    <sheet name="Title" sheetId="59" r:id="rId1"/>
    <sheet name="BS" sheetId="4" r:id="rId2"/>
    <sheet name="IS" sheetId="5" r:id="rId3"/>
    <sheet name="COI" sheetId="10" r:id="rId4"/>
    <sheet name="Distribution " sheetId="11" r:id="rId5"/>
    <sheet name="UHF" sheetId="6" r:id="rId6"/>
    <sheet name="Cash Flow " sheetId="22" r:id="rId7"/>
    <sheet name="CF Q working" sheetId="48" state="hidden" r:id="rId8"/>
    <sheet name="1" sheetId="18" r:id="rId9"/>
    <sheet name="Sheet2" sheetId="69" r:id="rId10"/>
    <sheet name="Sheet4" sheetId="71" r:id="rId11"/>
    <sheet name="2" sheetId="55" r:id="rId12"/>
    <sheet name="3" sheetId="58" r:id="rId13"/>
    <sheet name="4" sheetId="28" r:id="rId14"/>
    <sheet name="Notes 3.10-4.3" sheetId="23" state="hidden" r:id="rId15"/>
    <sheet name="Notes 5-11" sheetId="21" state="hidden" r:id="rId16"/>
    <sheet name="working for investmenst note" sheetId="9" state="hidden" r:id="rId17"/>
    <sheet name="RP Q working" sheetId="52" state="hidden" r:id="rId18"/>
    <sheet name="Distribution Q working" sheetId="46" state="hidden" r:id="rId19"/>
    <sheet name="UHF Q working" sheetId="47" state="hidden" r:id="rId20"/>
    <sheet name="adjustments" sheetId="7" state="hidden" r:id="rId21"/>
    <sheet name="working for rp" sheetId="24" state="hidden" r:id="rId22"/>
    <sheet name="Cash Flow" sheetId="13" state="hidden" r:id="rId23"/>
    <sheet name="investment note" sheetId="8" state="hidden"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12">'[1]last qrt2001'!#REF!</definedName>
    <definedName name="\A" localSheetId="13">'[1]last qrt2001'!#REF!</definedName>
    <definedName name="\a" localSheetId="7">#REF!</definedName>
    <definedName name="\a" localSheetId="18">#REF!</definedName>
    <definedName name="\a" localSheetId="23">#REF!</definedName>
    <definedName name="\a" localSheetId="14">#REF!</definedName>
    <definedName name="\a" localSheetId="19">#REF!</definedName>
    <definedName name="\a" localSheetId="16">#REF!</definedName>
    <definedName name="\a">#REF!</definedName>
    <definedName name="\B" localSheetId="12">'[1]last qrt2001'!#REF!</definedName>
    <definedName name="\B" localSheetId="13">'[1]last qrt2001'!#REF!</definedName>
    <definedName name="\b" localSheetId="7">#REF!</definedName>
    <definedName name="\b" localSheetId="18">#REF!</definedName>
    <definedName name="\b" localSheetId="23">#REF!</definedName>
    <definedName name="\b" localSheetId="14">#REF!</definedName>
    <definedName name="\b" localSheetId="19">#REF!</definedName>
    <definedName name="\b" localSheetId="16">#REF!</definedName>
    <definedName name="\b">#REF!</definedName>
    <definedName name="\c" localSheetId="12">#REF!</definedName>
    <definedName name="\c" localSheetId="13">#REF!</definedName>
    <definedName name="\c" localSheetId="7">#REF!</definedName>
    <definedName name="\c" localSheetId="18">#REF!</definedName>
    <definedName name="\c" localSheetId="23">#REF!</definedName>
    <definedName name="\c" localSheetId="14">#REF!</definedName>
    <definedName name="\c" localSheetId="19">#REF!</definedName>
    <definedName name="\c" localSheetId="16">#REF!</definedName>
    <definedName name="\c">#REF!</definedName>
    <definedName name="\d" localSheetId="12">#REF!</definedName>
    <definedName name="\d" localSheetId="13">#REF!</definedName>
    <definedName name="\d" localSheetId="7">#REF!</definedName>
    <definedName name="\d" localSheetId="18">#REF!</definedName>
    <definedName name="\d" localSheetId="23">#REF!</definedName>
    <definedName name="\d" localSheetId="14">#REF!</definedName>
    <definedName name="\d" localSheetId="19">#REF!</definedName>
    <definedName name="\d" localSheetId="16">#REF!</definedName>
    <definedName name="\d">#REF!</definedName>
    <definedName name="\e" localSheetId="12">#REF!</definedName>
    <definedName name="\e" localSheetId="13">#REF!</definedName>
    <definedName name="\e" localSheetId="7">#REF!</definedName>
    <definedName name="\e" localSheetId="18">#REF!</definedName>
    <definedName name="\e" localSheetId="23">#REF!</definedName>
    <definedName name="\e" localSheetId="14">#REF!</definedName>
    <definedName name="\e" localSheetId="19">#REF!</definedName>
    <definedName name="\e" localSheetId="16">#REF!</definedName>
    <definedName name="\e">#REF!</definedName>
    <definedName name="\i" localSheetId="12">#REF!</definedName>
    <definedName name="\i" localSheetId="13">#REF!</definedName>
    <definedName name="\i" localSheetId="7">#REF!</definedName>
    <definedName name="\i" localSheetId="18">#REF!</definedName>
    <definedName name="\i" localSheetId="23">#REF!</definedName>
    <definedName name="\i" localSheetId="14">#REF!</definedName>
    <definedName name="\i" localSheetId="19">#REF!</definedName>
    <definedName name="\i" localSheetId="16">#REF!</definedName>
    <definedName name="\i">#REF!</definedName>
    <definedName name="\l" localSheetId="12">#REF!</definedName>
    <definedName name="\l" localSheetId="13">#REF!</definedName>
    <definedName name="\l" localSheetId="7">#REF!</definedName>
    <definedName name="\l" localSheetId="18">#REF!</definedName>
    <definedName name="\l" localSheetId="23">#REF!</definedName>
    <definedName name="\l" localSheetId="14">#REF!</definedName>
    <definedName name="\l" localSheetId="19">#REF!</definedName>
    <definedName name="\l" localSheetId="16">#REF!</definedName>
    <definedName name="\l">#REF!</definedName>
    <definedName name="\m" localSheetId="12">#REF!</definedName>
    <definedName name="\m" localSheetId="13">#REF!</definedName>
    <definedName name="\m" localSheetId="7">#REF!</definedName>
    <definedName name="\m" localSheetId="18">#REF!</definedName>
    <definedName name="\m" localSheetId="23">#REF!</definedName>
    <definedName name="\m" localSheetId="14">#REF!</definedName>
    <definedName name="\m" localSheetId="19">#REF!</definedName>
    <definedName name="\m" localSheetId="16">#REF!</definedName>
    <definedName name="\m">#REF!</definedName>
    <definedName name="\n" localSheetId="12">#REF!</definedName>
    <definedName name="\n" localSheetId="13">#REF!</definedName>
    <definedName name="\n" localSheetId="7">#REF!</definedName>
    <definedName name="\n" localSheetId="18">#REF!</definedName>
    <definedName name="\n" localSheetId="23">#REF!</definedName>
    <definedName name="\n" localSheetId="14">#REF!</definedName>
    <definedName name="\n" localSheetId="19">#REF!</definedName>
    <definedName name="\n" localSheetId="16">#REF!</definedName>
    <definedName name="\n">#REF!</definedName>
    <definedName name="\o" localSheetId="12">#REF!</definedName>
    <definedName name="\o" localSheetId="13">#REF!</definedName>
    <definedName name="\o" localSheetId="7">#REF!</definedName>
    <definedName name="\o" localSheetId="18">#REF!</definedName>
    <definedName name="\o" localSheetId="23">#REF!</definedName>
    <definedName name="\o" localSheetId="14">#REF!</definedName>
    <definedName name="\o" localSheetId="19">#REF!</definedName>
    <definedName name="\o" localSheetId="16">#REF!</definedName>
    <definedName name="\o">#REF!</definedName>
    <definedName name="\q" localSheetId="12">#REF!</definedName>
    <definedName name="\q" localSheetId="13">#REF!</definedName>
    <definedName name="\q" localSheetId="7">#REF!</definedName>
    <definedName name="\q" localSheetId="18">#REF!</definedName>
    <definedName name="\q" localSheetId="23">#REF!</definedName>
    <definedName name="\q" localSheetId="14">#REF!</definedName>
    <definedName name="\q" localSheetId="19">#REF!</definedName>
    <definedName name="\q" localSheetId="16">#REF!</definedName>
    <definedName name="\q">#REF!</definedName>
    <definedName name="\R" localSheetId="12">'[1]last qrt2001'!#REF!</definedName>
    <definedName name="\R" localSheetId="7">'[1]last qrt2001'!#REF!</definedName>
    <definedName name="\R" localSheetId="18">'[1]last qrt2001'!#REF!</definedName>
    <definedName name="\R" localSheetId="19">'[1]last qrt2001'!#REF!</definedName>
    <definedName name="\R">'[1]last qrt2001'!#REF!</definedName>
    <definedName name="\S" localSheetId="12">'[1]last qrt2001'!#REF!</definedName>
    <definedName name="\S" localSheetId="13">'[1]last qrt2001'!#REF!</definedName>
    <definedName name="\s" localSheetId="7">#REF!</definedName>
    <definedName name="\s" localSheetId="18">#REF!</definedName>
    <definedName name="\s" localSheetId="23">#REF!</definedName>
    <definedName name="\s" localSheetId="14">#REF!</definedName>
    <definedName name="\s" localSheetId="19">#REF!</definedName>
    <definedName name="\s" localSheetId="16">#REF!</definedName>
    <definedName name="\s">#REF!</definedName>
    <definedName name="\T" localSheetId="12">'[2]Notes1-5(old)'!#REF!</definedName>
    <definedName name="\T" localSheetId="7">'[2]Notes1-5(old)'!#REF!</definedName>
    <definedName name="\T" localSheetId="18">'[2]Notes1-5(old)'!#REF!</definedName>
    <definedName name="\T" localSheetId="19">'[2]Notes1-5(old)'!#REF!</definedName>
    <definedName name="\T">'[2]Notes1-5(old)'!#REF!</definedName>
    <definedName name="\z" localSheetId="12">#REF!</definedName>
    <definedName name="\z" localSheetId="13">#REF!</definedName>
    <definedName name="\z" localSheetId="7">#REF!</definedName>
    <definedName name="\z" localSheetId="18">#REF!</definedName>
    <definedName name="\z" localSheetId="23">#REF!</definedName>
    <definedName name="\z" localSheetId="14">#REF!</definedName>
    <definedName name="\z" localSheetId="19">#REF!</definedName>
    <definedName name="\z" localSheetId="16">#REF!</definedName>
    <definedName name="\z">#REF!</definedName>
    <definedName name="____ASH1">[3]Sheet4!$B$524:$E$625</definedName>
    <definedName name="____ASH2">[3]Sheet4!$P$422:$Q$523</definedName>
    <definedName name="____ASS1" localSheetId="12">#REF!</definedName>
    <definedName name="____ASS1" localSheetId="7">#REF!</definedName>
    <definedName name="____ASS1" localSheetId="18">#REF!</definedName>
    <definedName name="____ASS1" localSheetId="19">#REF!</definedName>
    <definedName name="____ASS1">#REF!</definedName>
    <definedName name="____ASS2" localSheetId="12">#REF!</definedName>
    <definedName name="____ASS2" localSheetId="7">#REF!</definedName>
    <definedName name="____ASS2" localSheetId="18">#REF!</definedName>
    <definedName name="____ASS2" localSheetId="19">#REF!</definedName>
    <definedName name="____ASS2">#REF!</definedName>
    <definedName name="____EPZ1">[3]Sheet4!$F$428:$F$519</definedName>
    <definedName name="____EPZ2">[3]Sheet4!$S$326:$S$417</definedName>
    <definedName name="____LIA1" localSheetId="12">#REF!</definedName>
    <definedName name="____LIA1" localSheetId="7">#REF!</definedName>
    <definedName name="____LIA1" localSheetId="18">#REF!</definedName>
    <definedName name="____LIA1" localSheetId="19">#REF!</definedName>
    <definedName name="____LIA1">#REF!</definedName>
    <definedName name="____LIA2" localSheetId="12">#REF!</definedName>
    <definedName name="____LIA2" localSheetId="7">#REF!</definedName>
    <definedName name="____LIA2" localSheetId="18">#REF!</definedName>
    <definedName name="____LIA2" localSheetId="19">#REF!</definedName>
    <definedName name="____LIA2">#REF!</definedName>
    <definedName name="____PL1" localSheetId="12">#REF!</definedName>
    <definedName name="____PL1" localSheetId="7">#REF!</definedName>
    <definedName name="____PL1" localSheetId="18">#REF!</definedName>
    <definedName name="____PL1" localSheetId="19">#REF!</definedName>
    <definedName name="____PL1">#REF!</definedName>
    <definedName name="____PL2" localSheetId="12">#REF!</definedName>
    <definedName name="____PL2" localSheetId="7">#REF!</definedName>
    <definedName name="____PL2" localSheetId="18">#REF!</definedName>
    <definedName name="____PL2" localSheetId="19">#REF!</definedName>
    <definedName name="____PL2">#REF!</definedName>
    <definedName name="____PP2" localSheetId="12">#REF!</definedName>
    <definedName name="____PP2" localSheetId="7">#REF!</definedName>
    <definedName name="____PP2" localSheetId="18">#REF!</definedName>
    <definedName name="____PP2" localSheetId="19">#REF!</definedName>
    <definedName name="____PP2">#REF!</definedName>
    <definedName name="____PP3" localSheetId="12">#REF!</definedName>
    <definedName name="____PP3" localSheetId="7">#REF!</definedName>
    <definedName name="____PP3" localSheetId="18">#REF!</definedName>
    <definedName name="____PP3" localSheetId="19">#REF!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2">#REF!</definedName>
    <definedName name="___ASS1" localSheetId="7">#REF!</definedName>
    <definedName name="___ASS1" localSheetId="18">#REF!</definedName>
    <definedName name="___ASS1" localSheetId="19">#REF!</definedName>
    <definedName name="___ASS1">#REF!</definedName>
    <definedName name="___ASS2" localSheetId="12">#REF!</definedName>
    <definedName name="___ASS2" localSheetId="7">#REF!</definedName>
    <definedName name="___ASS2" localSheetId="18">#REF!</definedName>
    <definedName name="___ASS2" localSheetId="19">#REF!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2">[6]AL905!#REF!</definedName>
    <definedName name="___hub0207" localSheetId="7">[6]AL905!#REF!</definedName>
    <definedName name="___hub0207" localSheetId="18">[6]AL905!#REF!</definedName>
    <definedName name="___hub0207" localSheetId="19">[6]AL905!#REF!</definedName>
    <definedName name="___hub0207">[6]AL905!#REF!</definedName>
    <definedName name="___LIA1" localSheetId="12">#REF!</definedName>
    <definedName name="___LIA1" localSheetId="7">#REF!</definedName>
    <definedName name="___LIA1" localSheetId="18">#REF!</definedName>
    <definedName name="___LIA1" localSheetId="19">#REF!</definedName>
    <definedName name="___LIA1">#REF!</definedName>
    <definedName name="___LIA2" localSheetId="12">#REF!</definedName>
    <definedName name="___LIA2" localSheetId="7">#REF!</definedName>
    <definedName name="___LIA2" localSheetId="18">#REF!</definedName>
    <definedName name="___LIA2" localSheetId="19">#REF!</definedName>
    <definedName name="___LIA2">#REF!</definedName>
    <definedName name="___LMT1">'[5]I-B'!$F$1:$F$65536</definedName>
    <definedName name="___LMT2">'[5]I-BR'!$F$1:$F$65536</definedName>
    <definedName name="___PL1" localSheetId="12">#REF!</definedName>
    <definedName name="___PL1" localSheetId="7">#REF!</definedName>
    <definedName name="___PL1" localSheetId="18">#REF!</definedName>
    <definedName name="___PL1" localSheetId="19">#REF!</definedName>
    <definedName name="___PL1">#REF!</definedName>
    <definedName name="___PL2" localSheetId="12">#REF!</definedName>
    <definedName name="___PL2" localSheetId="7">#REF!</definedName>
    <definedName name="___PL2" localSheetId="18">#REF!</definedName>
    <definedName name="___PL2" localSheetId="19">#REF!</definedName>
    <definedName name="___PL2">#REF!</definedName>
    <definedName name="___PP2" localSheetId="12">#REF!</definedName>
    <definedName name="___PP2" localSheetId="7">#REF!</definedName>
    <definedName name="___PP2" localSheetId="18">#REF!</definedName>
    <definedName name="___PP2" localSheetId="19">#REF!</definedName>
    <definedName name="___PP2">#REF!</definedName>
    <definedName name="___PP3" localSheetId="12">#REF!</definedName>
    <definedName name="___PP3" localSheetId="7">#REF!</definedName>
    <definedName name="___PP3" localSheetId="18">#REF!</definedName>
    <definedName name="___PP3" localSheetId="19">#REF!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2" hidden="1">'[7]29-30'!#REF!</definedName>
    <definedName name="__123Graph_A" localSheetId="7" hidden="1">'[7]29-30'!#REF!</definedName>
    <definedName name="__123Graph_A" localSheetId="18" hidden="1">'[7]29-30'!#REF!</definedName>
    <definedName name="__123Graph_A" localSheetId="19" hidden="1">'[7]29-30'!#REF!</definedName>
    <definedName name="__123Graph_A" hidden="1">'[7]29-30'!#REF!</definedName>
    <definedName name="__123Graph_B" localSheetId="12" hidden="1">'[7]29-30'!#REF!</definedName>
    <definedName name="__123Graph_B" localSheetId="7" hidden="1">'[7]29-30'!#REF!</definedName>
    <definedName name="__123Graph_B" localSheetId="18" hidden="1">'[7]29-30'!#REF!</definedName>
    <definedName name="__123Graph_B" localSheetId="19" hidden="1">'[7]29-30'!#REF!</definedName>
    <definedName name="__123Graph_B" hidden="1">'[7]29-30'!#REF!</definedName>
    <definedName name="__123Graph_X" localSheetId="12" hidden="1">'[7]29-30'!#REF!</definedName>
    <definedName name="__123Graph_X" localSheetId="7" hidden="1">'[7]29-30'!#REF!</definedName>
    <definedName name="__123Graph_X" localSheetId="18" hidden="1">'[7]29-30'!#REF!</definedName>
    <definedName name="__123Graph_X" localSheetId="19" hidden="1">'[7]29-30'!#REF!</definedName>
    <definedName name="__123Graph_X" hidden="1">'[7]29-30'!#REF!</definedName>
    <definedName name="__ASH1">[3]Sheet4!$B$524:$E$625</definedName>
    <definedName name="__ASH2">[3]Sheet4!$P$422:$Q$523</definedName>
    <definedName name="__ASS1" localSheetId="12">#REF!</definedName>
    <definedName name="__ASS1" localSheetId="7">#REF!</definedName>
    <definedName name="__ASS1" localSheetId="18">#REF!</definedName>
    <definedName name="__ASS1" localSheetId="19">#REF!</definedName>
    <definedName name="__ASS1">#REF!</definedName>
    <definedName name="__ASS2" localSheetId="12">#REF!</definedName>
    <definedName name="__ASS2" localSheetId="7">#REF!</definedName>
    <definedName name="__ASS2" localSheetId="18">#REF!</definedName>
    <definedName name="__ASS2" localSheetId="19">#REF!</definedName>
    <definedName name="__ASS2">#REF!</definedName>
    <definedName name="__BSC1" localSheetId="12">#REF!</definedName>
    <definedName name="__BSC1">#REF!</definedName>
    <definedName name="__BSD1" localSheetId="12">#REF!</definedName>
    <definedName name="__BSD1" localSheetId="7">#REF!</definedName>
    <definedName name="__BSD1" localSheetId="18">#REF!</definedName>
    <definedName name="__BSD1" localSheetId="19">#REF!</definedName>
    <definedName name="__BSD1">#REF!</definedName>
    <definedName name="__BSH1" localSheetId="12">#REF!</definedName>
    <definedName name="__BSH1" localSheetId="7">#REF!</definedName>
    <definedName name="__BSH1" localSheetId="18">#REF!</definedName>
    <definedName name="__BSH1" localSheetId="19">#REF!</definedName>
    <definedName name="__BSH1">#REF!</definedName>
    <definedName name="__BSP1" localSheetId="12">#REF!</definedName>
    <definedName name="__BSP1" localSheetId="7">#REF!</definedName>
    <definedName name="__BSP1" localSheetId="18">#REF!</definedName>
    <definedName name="__BSP1" localSheetId="19">#REF!</definedName>
    <definedName name="__BSP1">#REF!</definedName>
    <definedName name="__BSS1" localSheetId="12">#REF!</definedName>
    <definedName name="__BSS1" localSheetId="7">#REF!</definedName>
    <definedName name="__BSS1" localSheetId="18">#REF!</definedName>
    <definedName name="__BSS1" localSheetId="19">#REF!</definedName>
    <definedName name="__BSS1">#REF!</definedName>
    <definedName name="__BST1" localSheetId="12">#REF!</definedName>
    <definedName name="__BST1" localSheetId="7">#REF!</definedName>
    <definedName name="__BST1" localSheetId="18">#REF!</definedName>
    <definedName name="__BST1" localSheetId="19">#REF!</definedName>
    <definedName name="__BST1">#REF!</definedName>
    <definedName name="__Col1" localSheetId="12">#REF!</definedName>
    <definedName name="__Col1" localSheetId="7">#REF!</definedName>
    <definedName name="__Col1" localSheetId="18">#REF!</definedName>
    <definedName name="__Col1" localSheetId="19">#REF!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2">[6]AL905!#REF!</definedName>
    <definedName name="__hub0207" localSheetId="7">[6]AL905!#REF!</definedName>
    <definedName name="__hub0207" localSheetId="18">[6]AL905!#REF!</definedName>
    <definedName name="__hub0207" localSheetId="19">[6]AL905!#REF!</definedName>
    <definedName name="__hub0207">[6]AL905!#REF!</definedName>
    <definedName name="__IEC1" localSheetId="12">#REF!</definedName>
    <definedName name="__IEC1" localSheetId="7">#REF!</definedName>
    <definedName name="__IEC1" localSheetId="18">#REF!</definedName>
    <definedName name="__IEC1" localSheetId="19">#REF!</definedName>
    <definedName name="__IEC1">#REF!</definedName>
    <definedName name="__IED1" localSheetId="12">#REF!</definedName>
    <definedName name="__IED1" localSheetId="7">#REF!</definedName>
    <definedName name="__IED1" localSheetId="18">#REF!</definedName>
    <definedName name="__IED1" localSheetId="19">#REF!</definedName>
    <definedName name="__IED1">#REF!</definedName>
    <definedName name="__IEH1" localSheetId="12">#REF!</definedName>
    <definedName name="__IEH1" localSheetId="7">#REF!</definedName>
    <definedName name="__IEH1" localSheetId="18">#REF!</definedName>
    <definedName name="__IEH1" localSheetId="19">#REF!</definedName>
    <definedName name="__IEH1">#REF!</definedName>
    <definedName name="__IEP1" localSheetId="12">#REF!</definedName>
    <definedName name="__IEP1" localSheetId="7">#REF!</definedName>
    <definedName name="__IEP1" localSheetId="18">#REF!</definedName>
    <definedName name="__IEP1" localSheetId="19">#REF!</definedName>
    <definedName name="__IEP1">#REF!</definedName>
    <definedName name="__IES1" localSheetId="12">#REF!</definedName>
    <definedName name="__IES1" localSheetId="7">#REF!</definedName>
    <definedName name="__IES1" localSheetId="18">#REF!</definedName>
    <definedName name="__IES1" localSheetId="19">#REF!</definedName>
    <definedName name="__IES1">#REF!</definedName>
    <definedName name="__IET1" localSheetId="12">#REF!</definedName>
    <definedName name="__IET1" localSheetId="7">#REF!</definedName>
    <definedName name="__IET1" localSheetId="18">#REF!</definedName>
    <definedName name="__IET1" localSheetId="19">#REF!</definedName>
    <definedName name="__IET1">#REF!</definedName>
    <definedName name="__LIA1" localSheetId="12">#REF!</definedName>
    <definedName name="__LIA1" localSheetId="7">#REF!</definedName>
    <definedName name="__LIA1" localSheetId="18">#REF!</definedName>
    <definedName name="__LIA1" localSheetId="19">#REF!</definedName>
    <definedName name="__LIA1">#REF!</definedName>
    <definedName name="__LIA2" localSheetId="12">#REF!</definedName>
    <definedName name="__LIA2" localSheetId="7">#REF!</definedName>
    <definedName name="__LIA2" localSheetId="18">#REF!</definedName>
    <definedName name="__LIA2" localSheetId="19">#REF!</definedName>
    <definedName name="__LIA2">#REF!</definedName>
    <definedName name="__LMT1">'[5]I-B'!$F$1:$F$65536</definedName>
    <definedName name="__LMT2">'[5]I-BR'!$F$1:$F$65536</definedName>
    <definedName name="__PL1" localSheetId="12">#REF!</definedName>
    <definedName name="__PL1" localSheetId="7">#REF!</definedName>
    <definedName name="__PL1" localSheetId="18">#REF!</definedName>
    <definedName name="__PL1" localSheetId="19">#REF!</definedName>
    <definedName name="__PL1">#REF!</definedName>
    <definedName name="__PL2" localSheetId="12">#REF!</definedName>
    <definedName name="__PL2" localSheetId="7">#REF!</definedName>
    <definedName name="__PL2" localSheetId="18">#REF!</definedName>
    <definedName name="__PL2" localSheetId="19">#REF!</definedName>
    <definedName name="__PL2">#REF!</definedName>
    <definedName name="__pL3" localSheetId="12">#REF!</definedName>
    <definedName name="__pL3">#REF!</definedName>
    <definedName name="__PP2" localSheetId="12">#REF!</definedName>
    <definedName name="__PP2" localSheetId="7">#REF!</definedName>
    <definedName name="__PP2" localSheetId="18">#REF!</definedName>
    <definedName name="__PP2" localSheetId="19">#REF!</definedName>
    <definedName name="__PP2">#REF!</definedName>
    <definedName name="__PP3" localSheetId="12">#REF!</definedName>
    <definedName name="__PP3" localSheetId="7">#REF!</definedName>
    <definedName name="__PP3" localSheetId="18">#REF!</definedName>
    <definedName name="__PP3" localSheetId="19">#REF!</definedName>
    <definedName name="__PP3">#REF!</definedName>
    <definedName name="__REC1999">'[4]RC-0997'!$B$132:$Q$171</definedName>
    <definedName name="__TMO1" localSheetId="12">'[8]BS-OVS'!#REF!</definedName>
    <definedName name="__TMO1" localSheetId="7">'[8]BS-OVS'!#REF!</definedName>
    <definedName name="__TMO1" localSheetId="18">'[8]BS-OVS'!#REF!</definedName>
    <definedName name="__TMO1" localSheetId="19">'[8]BS-OVS'!#REF!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2">#REF!</definedName>
    <definedName name="_1" localSheetId="13">#REF!</definedName>
    <definedName name="_1" localSheetId="7">#REF!</definedName>
    <definedName name="_1" localSheetId="18">#REF!</definedName>
    <definedName name="_1" localSheetId="23">#REF!</definedName>
    <definedName name="_1" localSheetId="14">#REF!</definedName>
    <definedName name="_1" localSheetId="19">#REF!</definedName>
    <definedName name="_1" localSheetId="16">#REF!</definedName>
    <definedName name="_1">#REF!</definedName>
    <definedName name="_1.1" localSheetId="12">#REF!</definedName>
    <definedName name="_1.1" localSheetId="13">#REF!</definedName>
    <definedName name="_1.1" localSheetId="7">#REF!</definedName>
    <definedName name="_1.1" localSheetId="18">#REF!</definedName>
    <definedName name="_1.1" localSheetId="23">#REF!</definedName>
    <definedName name="_1.1" localSheetId="14">#REF!</definedName>
    <definedName name="_1.1" localSheetId="19">#REF!</definedName>
    <definedName name="_1.1" localSheetId="16">#REF!</definedName>
    <definedName name="_1.1">#REF!</definedName>
    <definedName name="_1.2" localSheetId="12">[9]Sheet3!#REF!</definedName>
    <definedName name="_1.2" localSheetId="13">[9]Sheet3!#REF!</definedName>
    <definedName name="_1.2" localSheetId="7">[9]Sheet3!#REF!</definedName>
    <definedName name="_1.2" localSheetId="18">[9]Sheet3!#REF!</definedName>
    <definedName name="_1.2" localSheetId="19">[9]Sheet3!#REF!</definedName>
    <definedName name="_1.2">[9]Sheet3!#REF!</definedName>
    <definedName name="_1_" localSheetId="12">#REF!</definedName>
    <definedName name="_1_">#REF!</definedName>
    <definedName name="_10" localSheetId="12">#REF!</definedName>
    <definedName name="_10" localSheetId="13">#REF!</definedName>
    <definedName name="_10" localSheetId="7">#REF!</definedName>
    <definedName name="_10" localSheetId="18">#REF!</definedName>
    <definedName name="_10" localSheetId="23">#REF!</definedName>
    <definedName name="_10" localSheetId="14">#REF!</definedName>
    <definedName name="_10" localSheetId="19">#REF!</definedName>
    <definedName name="_10" localSheetId="16">#REF!</definedName>
    <definedName name="_10">#REF!</definedName>
    <definedName name="_11" localSheetId="12">#REF!</definedName>
    <definedName name="_11" localSheetId="13">#REF!</definedName>
    <definedName name="_11" localSheetId="7">#REF!</definedName>
    <definedName name="_11" localSheetId="18">#REF!</definedName>
    <definedName name="_11" localSheetId="23">#REF!</definedName>
    <definedName name="_11" localSheetId="14">#REF!</definedName>
    <definedName name="_11" localSheetId="19">#REF!</definedName>
    <definedName name="_11" localSheetId="16">#REF!</definedName>
    <definedName name="_11">#REF!</definedName>
    <definedName name="_12" localSheetId="12">#REF!</definedName>
    <definedName name="_12" localSheetId="13">#REF!</definedName>
    <definedName name="_12" localSheetId="7">#REF!</definedName>
    <definedName name="_12" localSheetId="18">#REF!</definedName>
    <definedName name="_12" localSheetId="23">#REF!</definedName>
    <definedName name="_12" localSheetId="14">#REF!</definedName>
    <definedName name="_12" localSheetId="19">#REF!</definedName>
    <definedName name="_12" localSheetId="16">#REF!</definedName>
    <definedName name="_12">#REF!</definedName>
    <definedName name="_13" localSheetId="12">#REF!</definedName>
    <definedName name="_13" localSheetId="13">#REF!</definedName>
    <definedName name="_13" localSheetId="7">#REF!</definedName>
    <definedName name="_13" localSheetId="18">#REF!</definedName>
    <definedName name="_13" localSheetId="23">#REF!</definedName>
    <definedName name="_13" localSheetId="14">#REF!</definedName>
    <definedName name="_13" localSheetId="19">#REF!</definedName>
    <definedName name="_13" localSheetId="16">#REF!</definedName>
    <definedName name="_13">#REF!</definedName>
    <definedName name="_14" localSheetId="12">#REF!</definedName>
    <definedName name="_14" localSheetId="13">#REF!</definedName>
    <definedName name="_14" localSheetId="7">#REF!</definedName>
    <definedName name="_14" localSheetId="18">#REF!</definedName>
    <definedName name="_14" localSheetId="23">#REF!</definedName>
    <definedName name="_14" localSheetId="14">#REF!</definedName>
    <definedName name="_14" localSheetId="19">#REF!</definedName>
    <definedName name="_14" localSheetId="16">#REF!</definedName>
    <definedName name="_14">#REF!</definedName>
    <definedName name="_15" localSheetId="12">#REF!</definedName>
    <definedName name="_15" localSheetId="13">#REF!</definedName>
    <definedName name="_15" localSheetId="7">#REF!</definedName>
    <definedName name="_15" localSheetId="18">#REF!</definedName>
    <definedName name="_15" localSheetId="23">#REF!</definedName>
    <definedName name="_15" localSheetId="14">#REF!</definedName>
    <definedName name="_15" localSheetId="19">#REF!</definedName>
    <definedName name="_15" localSheetId="16">#REF!</definedName>
    <definedName name="_15">#REF!</definedName>
    <definedName name="_16" localSheetId="12">#REF!</definedName>
    <definedName name="_16" localSheetId="13">#REF!</definedName>
    <definedName name="_16" localSheetId="7">#REF!</definedName>
    <definedName name="_16" localSheetId="18">#REF!</definedName>
    <definedName name="_16" localSheetId="23">#REF!</definedName>
    <definedName name="_16" localSheetId="14">#REF!</definedName>
    <definedName name="_16" localSheetId="19">#REF!</definedName>
    <definedName name="_16" localSheetId="16">#REF!</definedName>
    <definedName name="_16">#REF!</definedName>
    <definedName name="_17" localSheetId="12">#REF!</definedName>
    <definedName name="_17" localSheetId="13">#REF!</definedName>
    <definedName name="_17" localSheetId="7">#REF!</definedName>
    <definedName name="_17" localSheetId="18">#REF!</definedName>
    <definedName name="_17" localSheetId="23">#REF!</definedName>
    <definedName name="_17" localSheetId="14">#REF!</definedName>
    <definedName name="_17" localSheetId="19">#REF!</definedName>
    <definedName name="_17" localSheetId="16">#REF!</definedName>
    <definedName name="_17">#REF!</definedName>
    <definedName name="_18" localSheetId="12">#REF!</definedName>
    <definedName name="_18" localSheetId="13">#REF!</definedName>
    <definedName name="_18" localSheetId="7">#REF!</definedName>
    <definedName name="_18" localSheetId="18">#REF!</definedName>
    <definedName name="_18" localSheetId="23">#REF!</definedName>
    <definedName name="_18" localSheetId="14">#REF!</definedName>
    <definedName name="_18" localSheetId="19">#REF!</definedName>
    <definedName name="_18" localSheetId="16">#REF!</definedName>
    <definedName name="_18">#REF!</definedName>
    <definedName name="_19" localSheetId="12">#REF!</definedName>
    <definedName name="_19" localSheetId="13">#REF!</definedName>
    <definedName name="_19" localSheetId="7">#REF!</definedName>
    <definedName name="_19" localSheetId="18">#REF!</definedName>
    <definedName name="_19" localSheetId="23">#REF!</definedName>
    <definedName name="_19" localSheetId="14">#REF!</definedName>
    <definedName name="_19" localSheetId="19">#REF!</definedName>
    <definedName name="_19" localSheetId="16">#REF!</definedName>
    <definedName name="_19">#REF!</definedName>
    <definedName name="_2" localSheetId="12">#REF!</definedName>
    <definedName name="_2" localSheetId="13">#REF!</definedName>
    <definedName name="_2" localSheetId="7">#REF!</definedName>
    <definedName name="_2" localSheetId="18">#REF!</definedName>
    <definedName name="_2" localSheetId="23">#REF!</definedName>
    <definedName name="_2" localSheetId="14">#REF!</definedName>
    <definedName name="_2" localSheetId="19">#REF!</definedName>
    <definedName name="_2" localSheetId="16">#REF!</definedName>
    <definedName name="_2">#REF!</definedName>
    <definedName name="_2.1" localSheetId="12">#REF!</definedName>
    <definedName name="_2.1" localSheetId="13">#REF!</definedName>
    <definedName name="_2.1" localSheetId="7">#REF!</definedName>
    <definedName name="_2.1" localSheetId="18">#REF!</definedName>
    <definedName name="_2.1" localSheetId="23">#REF!</definedName>
    <definedName name="_2.1" localSheetId="14">#REF!</definedName>
    <definedName name="_2.1" localSheetId="19">#REF!</definedName>
    <definedName name="_2.1" localSheetId="16">#REF!</definedName>
    <definedName name="_2.1">#REF!</definedName>
    <definedName name="_2.2" localSheetId="12">[9]Sheet3!#REF!</definedName>
    <definedName name="_2.2" localSheetId="13">[9]Sheet3!#REF!</definedName>
    <definedName name="_2.2" localSheetId="7">[9]Sheet3!#REF!</definedName>
    <definedName name="_2.2" localSheetId="18">[9]Sheet3!#REF!</definedName>
    <definedName name="_2.2" localSheetId="19">[9]Sheet3!#REF!</definedName>
    <definedName name="_2.2">[9]Sheet3!#REF!</definedName>
    <definedName name="_20" localSheetId="12">#REF!</definedName>
    <definedName name="_20" localSheetId="13">#REF!</definedName>
    <definedName name="_20" localSheetId="7">#REF!</definedName>
    <definedName name="_20" localSheetId="18">#REF!</definedName>
    <definedName name="_20" localSheetId="23">#REF!</definedName>
    <definedName name="_20" localSheetId="14">#REF!</definedName>
    <definedName name="_20" localSheetId="19">#REF!</definedName>
    <definedName name="_20" localSheetId="16">#REF!</definedName>
    <definedName name="_20">#REF!</definedName>
    <definedName name="_21" localSheetId="12">#REF!</definedName>
    <definedName name="_21" localSheetId="13">#REF!</definedName>
    <definedName name="_21" localSheetId="7">#REF!</definedName>
    <definedName name="_21" localSheetId="18">#REF!</definedName>
    <definedName name="_21" localSheetId="23">#REF!</definedName>
    <definedName name="_21" localSheetId="14">#REF!</definedName>
    <definedName name="_21" localSheetId="19">#REF!</definedName>
    <definedName name="_21" localSheetId="16">#REF!</definedName>
    <definedName name="_21">#REF!</definedName>
    <definedName name="_24_06_2004" localSheetId="12">#REF!</definedName>
    <definedName name="_24_06_2004" localSheetId="7">#REF!</definedName>
    <definedName name="_24_06_2004" localSheetId="18">#REF!</definedName>
    <definedName name="_24_06_2004" localSheetId="19">#REF!</definedName>
    <definedName name="_24_06_2004">#REF!</definedName>
    <definedName name="_29_07_2004" localSheetId="12">#REF!</definedName>
    <definedName name="_29_07_2004" localSheetId="7">#REF!</definedName>
    <definedName name="_29_07_2004" localSheetId="18">#REF!</definedName>
    <definedName name="_29_07_2004" localSheetId="19">#REF!</definedName>
    <definedName name="_29_07_2004">#REF!</definedName>
    <definedName name="_3" localSheetId="12">#REF!</definedName>
    <definedName name="_3" localSheetId="13">#REF!</definedName>
    <definedName name="_3" localSheetId="7">#REF!</definedName>
    <definedName name="_3" localSheetId="18">#REF!</definedName>
    <definedName name="_3" localSheetId="23">#REF!</definedName>
    <definedName name="_3" localSheetId="14">#REF!</definedName>
    <definedName name="_3" localSheetId="19">#REF!</definedName>
    <definedName name="_3" localSheetId="16">#REF!</definedName>
    <definedName name="_3">#REF!</definedName>
    <definedName name="_3.1">[3]Sheet4!$A$110</definedName>
    <definedName name="_3.2">[3]Sheet4!$O$8</definedName>
    <definedName name="_3.3" localSheetId="12">[9]Sheet2!#REF!</definedName>
    <definedName name="_3.3" localSheetId="13">[9]Sheet2!#REF!</definedName>
    <definedName name="_3.3" localSheetId="7">[9]Sheet2!#REF!</definedName>
    <definedName name="_3.3" localSheetId="18">[9]Sheet2!#REF!</definedName>
    <definedName name="_3.3" localSheetId="19">[9]Sheet2!#REF!</definedName>
    <definedName name="_3.3">[9]Sheet2!#REF!</definedName>
    <definedName name="_4" localSheetId="12">#REF!</definedName>
    <definedName name="_4" localSheetId="13">#REF!</definedName>
    <definedName name="_4" localSheetId="7">#REF!</definedName>
    <definedName name="_4" localSheetId="18">#REF!</definedName>
    <definedName name="_4" localSheetId="23">#REF!</definedName>
    <definedName name="_4" localSheetId="14">#REF!</definedName>
    <definedName name="_4" localSheetId="19">#REF!</definedName>
    <definedName name="_4" localSheetId="16">#REF!</definedName>
    <definedName name="_4">#REF!</definedName>
    <definedName name="_4.1">[3]Sheet4!$A$214</definedName>
    <definedName name="_4.2">[3]Sheet4!$O$112</definedName>
    <definedName name="_5" localSheetId="12">#REF!</definedName>
    <definedName name="_5" localSheetId="13">#REF!</definedName>
    <definedName name="_5" localSheetId="7">#REF!</definedName>
    <definedName name="_5" localSheetId="18">#REF!</definedName>
    <definedName name="_5" localSheetId="23">#REF!</definedName>
    <definedName name="_5" localSheetId="14">#REF!</definedName>
    <definedName name="_5" localSheetId="19">#REF!</definedName>
    <definedName name="_5" localSheetId="16">#REF!</definedName>
    <definedName name="_5">#REF!</definedName>
    <definedName name="_5.1">[3]Sheet4!$A$318</definedName>
    <definedName name="_5.2">[3]Sheet4!$O$216</definedName>
    <definedName name="_6" localSheetId="12">#REF!</definedName>
    <definedName name="_6" localSheetId="13">#REF!</definedName>
    <definedName name="_6" localSheetId="7">#REF!</definedName>
    <definedName name="_6" localSheetId="18">#REF!</definedName>
    <definedName name="_6" localSheetId="23">#REF!</definedName>
    <definedName name="_6" localSheetId="14">#REF!</definedName>
    <definedName name="_6" localSheetId="19">#REF!</definedName>
    <definedName name="_6" localSheetId="16">#REF!</definedName>
    <definedName name="_6">#REF!</definedName>
    <definedName name="_6.1">[3]Sheet4!$A$422</definedName>
    <definedName name="_6.2">[3]Sheet4!$O$320</definedName>
    <definedName name="_7" localSheetId="12">#REF!</definedName>
    <definedName name="_7" localSheetId="13">#REF!</definedName>
    <definedName name="_7" localSheetId="7">#REF!</definedName>
    <definedName name="_7" localSheetId="18">#REF!</definedName>
    <definedName name="_7" localSheetId="23">#REF!</definedName>
    <definedName name="_7" localSheetId="14">#REF!</definedName>
    <definedName name="_7" localSheetId="19">#REF!</definedName>
    <definedName name="_7" localSheetId="16">#REF!</definedName>
    <definedName name="_7">#REF!</definedName>
    <definedName name="_7.1">[3]Sheet4!$A$526</definedName>
    <definedName name="_7.2">[3]Sheet4!$O$424</definedName>
    <definedName name="_8" localSheetId="12">#REF!</definedName>
    <definedName name="_8" localSheetId="13">#REF!</definedName>
    <definedName name="_8" localSheetId="7">#REF!</definedName>
    <definedName name="_8" localSheetId="18">#REF!</definedName>
    <definedName name="_8" localSheetId="23">#REF!</definedName>
    <definedName name="_8" localSheetId="14">#REF!</definedName>
    <definedName name="_8" localSheetId="19">#REF!</definedName>
    <definedName name="_8" localSheetId="16">#REF!</definedName>
    <definedName name="_8">#REF!</definedName>
    <definedName name="_9" localSheetId="12">#REF!</definedName>
    <definedName name="_9" localSheetId="13">#REF!</definedName>
    <definedName name="_9" localSheetId="7">#REF!</definedName>
    <definedName name="_9" localSheetId="18">#REF!</definedName>
    <definedName name="_9" localSheetId="23">#REF!</definedName>
    <definedName name="_9" localSheetId="14">#REF!</definedName>
    <definedName name="_9" localSheetId="19">#REF!</definedName>
    <definedName name="_9" localSheetId="16">#REF!</definedName>
    <definedName name="_9">#REF!</definedName>
    <definedName name="_ASH1" localSheetId="12">[3]Sheet4!$B$524:$E$625</definedName>
    <definedName name="_ASH1" localSheetId="13">[3]Sheet4!$B$524:$E$625</definedName>
    <definedName name="_ASH1">[10]Sheet4!$B$524:$E$625</definedName>
    <definedName name="_ASH2" localSheetId="12">[3]Sheet4!$P$422:$Q$523</definedName>
    <definedName name="_ASH2" localSheetId="13">[3]Sheet4!$P$422:$Q$523</definedName>
    <definedName name="_ASH2">[10]Sheet4!$P$422:$Q$523</definedName>
    <definedName name="_ASS1" localSheetId="12">#REF!</definedName>
    <definedName name="_ASS1" localSheetId="13">#REF!</definedName>
    <definedName name="_ASS1" localSheetId="7">'[11]Abu Dhabi'!#REF!</definedName>
    <definedName name="_ASS1" localSheetId="18">'[11]Abu Dhabi'!#REF!</definedName>
    <definedName name="_ASS1" localSheetId="19">'[11]Abu Dhabi'!#REF!</definedName>
    <definedName name="_ASS1">'[11]Abu Dhabi'!#REF!</definedName>
    <definedName name="_ASS2" localSheetId="12">#REF!</definedName>
    <definedName name="_ASS2" localSheetId="13">#REF!</definedName>
    <definedName name="_ASS2" localSheetId="7">[12]BSDOMOVS!#REF!</definedName>
    <definedName name="_ASS2" localSheetId="18">[12]BSDOMOVS!#REF!</definedName>
    <definedName name="_ASS2" localSheetId="19">[12]BSDOMOVS!#REF!</definedName>
    <definedName name="_ASS2">[12]BSDOMOVS!#REF!</definedName>
    <definedName name="_BSC1" localSheetId="12">#REF!</definedName>
    <definedName name="_BSC1" localSheetId="7">#REF!</definedName>
    <definedName name="_BSC1" localSheetId="18">#REF!</definedName>
    <definedName name="_BSC1" localSheetId="19">#REF!</definedName>
    <definedName name="_BSC1">#REF!</definedName>
    <definedName name="_BSD1" localSheetId="12">#REF!</definedName>
    <definedName name="_BSD1" localSheetId="7">#REF!</definedName>
    <definedName name="_BSD1" localSheetId="18">#REF!</definedName>
    <definedName name="_BSD1" localSheetId="19">#REF!</definedName>
    <definedName name="_BSD1">#REF!</definedName>
    <definedName name="_BSH1" localSheetId="12">#REF!</definedName>
    <definedName name="_BSH1" localSheetId="7">#REF!</definedName>
    <definedName name="_BSH1" localSheetId="18">#REF!</definedName>
    <definedName name="_BSH1" localSheetId="19">#REF!</definedName>
    <definedName name="_BSH1">#REF!</definedName>
    <definedName name="_BSP1" localSheetId="12">#REF!</definedName>
    <definedName name="_BSP1" localSheetId="7">#REF!</definedName>
    <definedName name="_BSP1" localSheetId="18">#REF!</definedName>
    <definedName name="_BSP1" localSheetId="19">#REF!</definedName>
    <definedName name="_BSP1">#REF!</definedName>
    <definedName name="_BSS1" localSheetId="12">#REF!</definedName>
    <definedName name="_BSS1" localSheetId="7">#REF!</definedName>
    <definedName name="_BSS1" localSheetId="18">#REF!</definedName>
    <definedName name="_BSS1" localSheetId="19">#REF!</definedName>
    <definedName name="_BSS1">#REF!</definedName>
    <definedName name="_BST1" localSheetId="12">#REF!</definedName>
    <definedName name="_BST1" localSheetId="7">#REF!</definedName>
    <definedName name="_BST1" localSheetId="18">#REF!</definedName>
    <definedName name="_BST1" localSheetId="19">#REF!</definedName>
    <definedName name="_BST1">#REF!</definedName>
    <definedName name="_Col1" localSheetId="12">#REF!</definedName>
    <definedName name="_Col1" localSheetId="7">#REF!</definedName>
    <definedName name="_Col1" localSheetId="18">#REF!</definedName>
    <definedName name="_Col1" localSheetId="19">#REF!</definedName>
    <definedName name="_Col1">#REF!</definedName>
    <definedName name="_crt1">'[13]I-B'!$B$1:$B$65536</definedName>
    <definedName name="_crt2">'[13]I-BR'!$B$1:$B$65536</definedName>
    <definedName name="_EPZ1" localSheetId="12">[3]Sheet4!$F$428:$F$519</definedName>
    <definedName name="_EPZ1" localSheetId="13">[3]Sheet4!$F$428:$F$519</definedName>
    <definedName name="_EPZ1">[10]Sheet4!$F$428:$F$519</definedName>
    <definedName name="_EPZ2" localSheetId="12">[3]Sheet4!$S$326:$S$417</definedName>
    <definedName name="_EPZ2" localSheetId="13">[3]Sheet4!$S$326:$S$417</definedName>
    <definedName name="_EPZ2">[10]Sheet4!$S$326:$S$417</definedName>
    <definedName name="_Fill" hidden="1">[3]Sheet4!$F$300</definedName>
    <definedName name="_xlnm._FilterDatabase" localSheetId="12" hidden="1">#REF!</definedName>
    <definedName name="_xlnm._FilterDatabase" localSheetId="7" hidden="1">#REF!</definedName>
    <definedName name="_xlnm._FilterDatabase" localSheetId="18" hidden="1">#REF!</definedName>
    <definedName name="_xlnm._FilterDatabase" localSheetId="19" hidden="1">#REF!</definedName>
    <definedName name="_xlnm._FilterDatabase" hidden="1">#REF!</definedName>
    <definedName name="_FMT1">'[13]I-B'!$E$1:$E$65536</definedName>
    <definedName name="_FMT2">'[13]I-BR'!$E$1:$E$65536</definedName>
    <definedName name="_hub0207" localSheetId="12">[6]AL905!#REF!</definedName>
    <definedName name="_hub0207" localSheetId="7">[6]AL905!#REF!</definedName>
    <definedName name="_hub0207" localSheetId="18">[6]AL905!#REF!</definedName>
    <definedName name="_hub0207" localSheetId="19">[6]AL905!#REF!</definedName>
    <definedName name="_hub0207">[6]AL905!#REF!</definedName>
    <definedName name="_IEC1" localSheetId="12">#REF!</definedName>
    <definedName name="_IEC1" localSheetId="7">#REF!</definedName>
    <definedName name="_IEC1" localSheetId="18">#REF!</definedName>
    <definedName name="_IEC1" localSheetId="19">#REF!</definedName>
    <definedName name="_IEC1">#REF!</definedName>
    <definedName name="_IED1" localSheetId="12">#REF!</definedName>
    <definedName name="_IED1" localSheetId="7">#REF!</definedName>
    <definedName name="_IED1" localSheetId="18">#REF!</definedName>
    <definedName name="_IED1" localSheetId="19">#REF!</definedName>
    <definedName name="_IED1">#REF!</definedName>
    <definedName name="_IEH1" localSheetId="12">#REF!</definedName>
    <definedName name="_IEH1" localSheetId="7">#REF!</definedName>
    <definedName name="_IEH1" localSheetId="18">#REF!</definedName>
    <definedName name="_IEH1" localSheetId="19">#REF!</definedName>
    <definedName name="_IEH1">#REF!</definedName>
    <definedName name="_IEP1" localSheetId="12">#REF!</definedName>
    <definedName name="_IEP1" localSheetId="7">#REF!</definedName>
    <definedName name="_IEP1" localSheetId="18">#REF!</definedName>
    <definedName name="_IEP1" localSheetId="19">#REF!</definedName>
    <definedName name="_IEP1">#REF!</definedName>
    <definedName name="_IES1" localSheetId="12">#REF!</definedName>
    <definedName name="_IES1" localSheetId="7">#REF!</definedName>
    <definedName name="_IES1" localSheetId="18">#REF!</definedName>
    <definedName name="_IES1" localSheetId="19">#REF!</definedName>
    <definedName name="_IES1">#REF!</definedName>
    <definedName name="_IET1" localSheetId="12">#REF!</definedName>
    <definedName name="_IET1" localSheetId="7">#REF!</definedName>
    <definedName name="_IET1" localSheetId="18">#REF!</definedName>
    <definedName name="_IET1" localSheetId="19">#REF!</definedName>
    <definedName name="_IET1">#REF!</definedName>
    <definedName name="_LIA1" localSheetId="12">#REF!</definedName>
    <definedName name="_LIA1" localSheetId="7">#REF!</definedName>
    <definedName name="_LIA1" localSheetId="18">#REF!</definedName>
    <definedName name="_LIA1" localSheetId="19">#REF!</definedName>
    <definedName name="_LIA1">#REF!</definedName>
    <definedName name="_LIA2" localSheetId="12">#REF!</definedName>
    <definedName name="_LIA2" localSheetId="7">#REF!</definedName>
    <definedName name="_LIA2" localSheetId="18">#REF!</definedName>
    <definedName name="_LIA2" localSheetId="19">#REF!</definedName>
    <definedName name="_LIA2">#REF!</definedName>
    <definedName name="_LMT1">'[13]I-B'!$G$1:$G$65536</definedName>
    <definedName name="_LMT2">'[13]I-BR'!$G$1:$G$65536</definedName>
    <definedName name="_PL1" localSheetId="12">#REF!</definedName>
    <definedName name="_PL1" localSheetId="13">#REF!</definedName>
    <definedName name="_PL1" localSheetId="7">#REF!</definedName>
    <definedName name="_PL1" localSheetId="18">#REF!</definedName>
    <definedName name="_PL1" localSheetId="19">#REF!</definedName>
    <definedName name="_PL1">#REF!</definedName>
    <definedName name="_PL2" localSheetId="12">#REF!</definedName>
    <definedName name="_PL2" localSheetId="7">#REF!</definedName>
    <definedName name="_PL2" localSheetId="18">#REF!</definedName>
    <definedName name="_PL2" localSheetId="19">#REF!</definedName>
    <definedName name="_PL2">#REF!</definedName>
    <definedName name="_pL3" localSheetId="12">#REF!</definedName>
    <definedName name="_pL3">#REF!</definedName>
    <definedName name="_PP2" localSheetId="12">#REF!</definedName>
    <definedName name="_PP2" localSheetId="13">#REF!</definedName>
    <definedName name="_PP2" localSheetId="7">#REF!</definedName>
    <definedName name="_PP2" localSheetId="18">#REF!</definedName>
    <definedName name="_PP2" localSheetId="19">#REF!</definedName>
    <definedName name="_PP2">#REF!</definedName>
    <definedName name="_PP3" localSheetId="12">#REF!</definedName>
    <definedName name="_PP3" localSheetId="7">#REF!</definedName>
    <definedName name="_PP3" localSheetId="18">#REF!</definedName>
    <definedName name="_PP3" localSheetId="19">#REF!</definedName>
    <definedName name="_PP3">#REF!</definedName>
    <definedName name="_REC1999">'[4]RC-0997'!$B$132:$Q$171</definedName>
    <definedName name="_TMO1" localSheetId="12">'[8]BS-OVS'!#REF!</definedName>
    <definedName name="_TMO1" localSheetId="7">'[8]BS-OVS'!#REF!</definedName>
    <definedName name="_TMO1" localSheetId="18">'[8]BS-OVS'!#REF!</definedName>
    <definedName name="_TMO1" localSheetId="19">'[8]BS-OVS'!#REF!</definedName>
    <definedName name="_TMO1">'[8]BS-OVS'!#REF!</definedName>
    <definedName name="_UAE1" localSheetId="12">[3]Sheet4!$D$116:$D$207</definedName>
    <definedName name="_UAE1" localSheetId="13">[3]Sheet4!$D$116:$D$207</definedName>
    <definedName name="_UAE1">[10]Sheet4!$D$116:$D$207</definedName>
    <definedName name="_UAE2" localSheetId="12">[3]Sheet4!$Q$14:$Q$105</definedName>
    <definedName name="_UAE2" localSheetId="13">[3]Sheet4!$Q$14:$Q$105</definedName>
    <definedName name="_UAE2">[10]Sheet4!$Q$14:$Q$105</definedName>
    <definedName name="_UK1" localSheetId="12">[3]Sheet4!$F$324:$F$415</definedName>
    <definedName name="_UK1" localSheetId="13">[3]Sheet4!$F$324:$F$415</definedName>
    <definedName name="_UK1">[10]Sheet4!$F$324:$F$415</definedName>
    <definedName name="_UK2" localSheetId="12">[3]Sheet4!$S$222:$S$313</definedName>
    <definedName name="_UK2" localSheetId="13">[3]Sheet4!$S$222:$S$313</definedName>
    <definedName name="_UK2">[10]Sheet4!$S$222:$S$313</definedName>
    <definedName name="_USA1" localSheetId="12">[3]Sheet4!$D$428:$D$519</definedName>
    <definedName name="_USA1" localSheetId="13">[3]Sheet4!$D$428:$D$519</definedName>
    <definedName name="_USA1">[10]Sheet4!$D$428:$D$519</definedName>
    <definedName name="_USA2" localSheetId="12">[3]Sheet4!$Q$326:$Q$417</definedName>
    <definedName name="_USA2" localSheetId="13">[3]Sheet4!$Q$326:$Q$417</definedName>
    <definedName name="_USA2">[10]Sheet4!$Q$326:$Q$417</definedName>
    <definedName name="a" localSheetId="12">'[14]BS-OVS'!#REF!</definedName>
    <definedName name="a" localSheetId="13">'[14]BS-OVS'!#REF!</definedName>
    <definedName name="a" localSheetId="7">'[14]BS-OVS'!#REF!</definedName>
    <definedName name="a" localSheetId="18">'[14]BS-OVS'!#REF!</definedName>
    <definedName name="a" localSheetId="19">'[14]BS-OVS'!#REF!</definedName>
    <definedName name="a">'[14]BS-OVS'!#REF!</definedName>
    <definedName name="AA" localSheetId="12">#REF!</definedName>
    <definedName name="AA" localSheetId="7">#REF!</definedName>
    <definedName name="AA" localSheetId="18">#REF!</definedName>
    <definedName name="AA" localSheetId="19">#REF!</definedName>
    <definedName name="AA">#REF!</definedName>
    <definedName name="aaa" localSheetId="12">#REF!</definedName>
    <definedName name="aaa" localSheetId="13">#REF!</definedName>
    <definedName name="aaa" localSheetId="7">#REF!</definedName>
    <definedName name="aaa" localSheetId="18">#REF!</definedName>
    <definedName name="aaa" localSheetId="19">#REF!</definedName>
    <definedName name="aaa">#REF!</definedName>
    <definedName name="aaaaa" localSheetId="12">[9]Sheet3!#REF!</definedName>
    <definedName name="aaaaa" localSheetId="7">[9]Sheet3!#REF!</definedName>
    <definedName name="aaaaa" localSheetId="18">[9]Sheet3!#REF!</definedName>
    <definedName name="aaaaa" localSheetId="19">[9]Sheet3!#REF!</definedName>
    <definedName name="aaaaa">[9]Sheet3!#REF!</definedName>
    <definedName name="AB" localSheetId="12">#REF!</definedName>
    <definedName name="AB" localSheetId="7">#REF!</definedName>
    <definedName name="AB" localSheetId="18">#REF!</definedName>
    <definedName name="AB" localSheetId="19">#REF!</definedName>
    <definedName name="AB">#REF!</definedName>
    <definedName name="abc" localSheetId="12">#REF!</definedName>
    <definedName name="abc" localSheetId="7">#REF!</definedName>
    <definedName name="abc" localSheetId="18">#REF!</definedName>
    <definedName name="abc" localSheetId="23">#REF!</definedName>
    <definedName name="abc" localSheetId="14">#REF!</definedName>
    <definedName name="abc" localSheetId="19">#REF!</definedName>
    <definedName name="abc" localSheetId="16">#REF!</definedName>
    <definedName name="abc">#REF!</definedName>
    <definedName name="AC" localSheetId="12">#REF!</definedName>
    <definedName name="AC" localSheetId="13">#REF!</definedName>
    <definedName name="ac">[15]INPUT!$B$6:$G$83</definedName>
    <definedName name="Acc.Code" localSheetId="12">#REF!</definedName>
    <definedName name="Acc.Code" localSheetId="7">#REF!</definedName>
    <definedName name="Acc.Code" localSheetId="18">#REF!</definedName>
    <definedName name="Acc.Code" localSheetId="23">#REF!</definedName>
    <definedName name="Acc.Code" localSheetId="14">#REF!</definedName>
    <definedName name="Acc.Code" localSheetId="19">#REF!</definedName>
    <definedName name="Acc.Code" localSheetId="16">#REF!</definedName>
    <definedName name="Acc.Code">#REF!</definedName>
    <definedName name="ad">[16]A!$Q$604:$Q$639</definedName>
    <definedName name="adghs" localSheetId="12">#REF!</definedName>
    <definedName name="adghs">#REF!</definedName>
    <definedName name="ADV" localSheetId="12">[17]acct!#REF!</definedName>
    <definedName name="ADV" localSheetId="7">[17]acct!#REF!</definedName>
    <definedName name="ADV" localSheetId="18">[17]acct!#REF!</definedName>
    <definedName name="ADV" localSheetId="19">[17]acct!#REF!</definedName>
    <definedName name="ADV">[17]acct!#REF!</definedName>
    <definedName name="AED" localSheetId="12">#REF!</definedName>
    <definedName name="AED" localSheetId="7">#REF!</definedName>
    <definedName name="AED" localSheetId="18">#REF!</definedName>
    <definedName name="AED" localSheetId="19">#REF!</definedName>
    <definedName name="AED">#REF!</definedName>
    <definedName name="afe" localSheetId="12">#REF!</definedName>
    <definedName name="afe">#REF!</definedName>
    <definedName name="affair" localSheetId="12">[18]BSDOMOVS!#REF!</definedName>
    <definedName name="affair" localSheetId="13">[18]BSDOMOVS!#REF!</definedName>
    <definedName name="affair" localSheetId="7">[18]BSDOMOVS!#REF!</definedName>
    <definedName name="affair" localSheetId="18">[18]BSDOMOVS!#REF!</definedName>
    <definedName name="affair" localSheetId="19">[18]BSDOMOVS!#REF!</definedName>
    <definedName name="affair">[18]BSDOMOVS!#REF!</definedName>
    <definedName name="AKK" localSheetId="12" hidden="1">{"'CALL MONEY'!$K$53"}</definedName>
    <definedName name="AKK" localSheetId="13" hidden="1">{"'CALL MONEY'!$K$53"}</definedName>
    <definedName name="AKK" hidden="1">{"'CALL MONEY'!$K$53"}</definedName>
    <definedName name="alco" localSheetId="12">#REF!</definedName>
    <definedName name="alco" localSheetId="7">#REF!</definedName>
    <definedName name="alco" localSheetId="18">#REF!</definedName>
    <definedName name="alco" localSheetId="19">#REF!</definedName>
    <definedName name="alco">#REF!</definedName>
    <definedName name="Amount" localSheetId="12">#REF!</definedName>
    <definedName name="Amount" localSheetId="7">#REF!</definedName>
    <definedName name="Amount" localSheetId="18">#REF!</definedName>
    <definedName name="Amount" localSheetId="23">#REF!</definedName>
    <definedName name="Amount" localSheetId="14">#REF!</definedName>
    <definedName name="Amount" localSheetId="19">#REF!</definedName>
    <definedName name="Amount" localSheetId="16">#REF!</definedName>
    <definedName name="Amount">#REF!</definedName>
    <definedName name="APAGE1" localSheetId="12">#REF!</definedName>
    <definedName name="APAGE1" localSheetId="13">#REF!</definedName>
    <definedName name="APAGE1" localSheetId="7">#REF!</definedName>
    <definedName name="APAGE1" localSheetId="18">#REF!</definedName>
    <definedName name="APAGE1" localSheetId="23">#REF!</definedName>
    <definedName name="APAGE1" localSheetId="14">#REF!</definedName>
    <definedName name="APAGE1" localSheetId="19">#REF!</definedName>
    <definedName name="APAGE1" localSheetId="16">#REF!</definedName>
    <definedName name="APAGE1">#REF!</definedName>
    <definedName name="APAGE2" localSheetId="12">#REF!</definedName>
    <definedName name="APAGE2" localSheetId="13">#REF!</definedName>
    <definedName name="APAGE2" localSheetId="7">#REF!</definedName>
    <definedName name="APAGE2" localSheetId="18">#REF!</definedName>
    <definedName name="APAGE2" localSheetId="23">#REF!</definedName>
    <definedName name="APAGE2" localSheetId="14">#REF!</definedName>
    <definedName name="APAGE2" localSheetId="19">#REF!</definedName>
    <definedName name="APAGE2" localSheetId="16">#REF!</definedName>
    <definedName name="APAGE2">#REF!</definedName>
    <definedName name="APAGE3" localSheetId="12">#REF!</definedName>
    <definedName name="APAGE3" localSheetId="13">#REF!</definedName>
    <definedName name="APAGE3" localSheetId="7">#REF!</definedName>
    <definedName name="APAGE3" localSheetId="18">#REF!</definedName>
    <definedName name="APAGE3" localSheetId="23">#REF!</definedName>
    <definedName name="APAGE3" localSheetId="14">#REF!</definedName>
    <definedName name="APAGE3" localSheetId="19">#REF!</definedName>
    <definedName name="APAGE3" localSheetId="16">#REF!</definedName>
    <definedName name="APAGE3">#REF!</definedName>
    <definedName name="APAGE4" localSheetId="12">#REF!</definedName>
    <definedName name="APAGE4" localSheetId="13">#REF!</definedName>
    <definedName name="APAGE4" localSheetId="7">#REF!</definedName>
    <definedName name="APAGE4" localSheetId="18">#REF!</definedName>
    <definedName name="APAGE4" localSheetId="23">#REF!</definedName>
    <definedName name="APAGE4" localSheetId="14">#REF!</definedName>
    <definedName name="APAGE4" localSheetId="19">#REF!</definedName>
    <definedName name="APAGE4" localSheetId="16">#REF!</definedName>
    <definedName name="APAGE4">#REF!</definedName>
    <definedName name="ARA_Threshold" localSheetId="12">#REF!</definedName>
    <definedName name="ARA_Threshold" localSheetId="7">#REF!</definedName>
    <definedName name="ARA_Threshold" localSheetId="18">#REF!</definedName>
    <definedName name="ARA_Threshold" localSheetId="19">#REF!</definedName>
    <definedName name="ARA_Threshold">#REF!</definedName>
    <definedName name="ARP_Threshold" localSheetId="12">#REF!</definedName>
    <definedName name="ARP_Threshold" localSheetId="7">#REF!</definedName>
    <definedName name="ARP_Threshold" localSheetId="18">#REF!</definedName>
    <definedName name="ARP_Threshold" localSheetId="19">#REF!</definedName>
    <definedName name="ARP_Threshold">#REF!</definedName>
    <definedName name="as">[10]Sheet4!$A$421:$Q$523</definedName>
    <definedName name="AS2DocOpenMode" hidden="1">"AS2DocumentEdit"</definedName>
    <definedName name="AS2ReportLS" hidden="1">1</definedName>
    <definedName name="AS2StaticLS" localSheetId="12" hidden="1">#REF!</definedName>
    <definedName name="AS2StaticLS" localSheetId="7" hidden="1">#REF!</definedName>
    <definedName name="AS2StaticLS" localSheetId="18" hidden="1">#REF!</definedName>
    <definedName name="AS2StaticLS" localSheetId="19" hidden="1">#REF!</definedName>
    <definedName name="AS2StaticLS" hidden="1">#REF!</definedName>
    <definedName name="AS2SyncStepLS" hidden="1">0</definedName>
    <definedName name="AS2TickmarkLS" localSheetId="12" hidden="1">#REF!</definedName>
    <definedName name="AS2TickmarkLS" localSheetId="7" hidden="1">#REF!</definedName>
    <definedName name="AS2TickmarkLS" localSheetId="18" hidden="1">#REF!</definedName>
    <definedName name="AS2TickmarkLS" localSheetId="19" hidden="1">#REF!</definedName>
    <definedName name="AS2TickmarkLS" hidden="1">#REF!</definedName>
    <definedName name="AS2VersionLS" hidden="1">300</definedName>
    <definedName name="asd" localSheetId="12">#REF!</definedName>
    <definedName name="asd">#REF!</definedName>
    <definedName name="asdf" localSheetId="12" hidden="1">{"'CALL MONEY'!$K$53"}</definedName>
    <definedName name="asdf" localSheetId="13" hidden="1">{"'CALL MONEY'!$K$53"}</definedName>
    <definedName name="asdf" hidden="1">{"'CALL MONEY'!$K$53"}</definedName>
    <definedName name="ashdah" localSheetId="12">#REF!</definedName>
    <definedName name="ashdah">#REF!</definedName>
    <definedName name="ASHRAF" localSheetId="12">#REF!</definedName>
    <definedName name="ASHRAF" localSheetId="13">#REF!</definedName>
    <definedName name="ASHRAF" localSheetId="7">#REF!</definedName>
    <definedName name="ASHRAF" localSheetId="18">#REF!</definedName>
    <definedName name="ASHRAF" localSheetId="23">#REF!</definedName>
    <definedName name="ASHRAF" localSheetId="14">#REF!</definedName>
    <definedName name="ASHRAF" localSheetId="19">#REF!</definedName>
    <definedName name="ASHRAF" localSheetId="16">#REF!</definedName>
    <definedName name="ASHRAF">#REF!</definedName>
    <definedName name="ASSE" localSheetId="12">[9]Sheet3!#REF!</definedName>
    <definedName name="ASSE" localSheetId="13">[9]Sheet3!#REF!</definedName>
    <definedName name="ASSE" localSheetId="7">[9]Sheet3!#REF!</definedName>
    <definedName name="ASSE" localSheetId="18">[9]Sheet3!#REF!</definedName>
    <definedName name="ASSE" localSheetId="19">[9]Sheet3!#REF!</definedName>
    <definedName name="ASSE">[9]Sheet3!#REF!</definedName>
    <definedName name="ASSET1" localSheetId="12">#REF!</definedName>
    <definedName name="ASSET1" localSheetId="13">#REF!</definedName>
    <definedName name="ASSET1" localSheetId="7">#REF!</definedName>
    <definedName name="ASSET1" localSheetId="18">#REF!</definedName>
    <definedName name="ASSET1" localSheetId="23">#REF!</definedName>
    <definedName name="ASSET1" localSheetId="14">#REF!</definedName>
    <definedName name="ASSET1" localSheetId="19">#REF!</definedName>
    <definedName name="ASSET1" localSheetId="16">#REF!</definedName>
    <definedName name="ASSET1">#REF!</definedName>
    <definedName name="ASSET2" localSheetId="12">#REF!</definedName>
    <definedName name="ASSET2" localSheetId="13">#REF!</definedName>
    <definedName name="ASSET2" localSheetId="7">#REF!</definedName>
    <definedName name="ASSET2" localSheetId="18">#REF!</definedName>
    <definedName name="ASSET2" localSheetId="23">#REF!</definedName>
    <definedName name="ASSET2" localSheetId="14">#REF!</definedName>
    <definedName name="ASSET2" localSheetId="19">#REF!</definedName>
    <definedName name="ASSET2" localSheetId="16">#REF!</definedName>
    <definedName name="ASSET2">#REF!</definedName>
    <definedName name="ASSET3" localSheetId="12">#REF!</definedName>
    <definedName name="ASSET3" localSheetId="13">#REF!</definedName>
    <definedName name="ASSET3" localSheetId="7">#REF!</definedName>
    <definedName name="ASSET3" localSheetId="18">#REF!</definedName>
    <definedName name="ASSET3" localSheetId="23">#REF!</definedName>
    <definedName name="ASSET3" localSheetId="14">#REF!</definedName>
    <definedName name="ASSET3" localSheetId="19">#REF!</definedName>
    <definedName name="ASSET3" localSheetId="16">#REF!</definedName>
    <definedName name="ASSET3">#REF!</definedName>
    <definedName name="ASSET4" localSheetId="12">#REF!</definedName>
    <definedName name="ASSET4" localSheetId="13">#REF!</definedName>
    <definedName name="ASSET4" localSheetId="7">#REF!</definedName>
    <definedName name="ASSET4" localSheetId="18">#REF!</definedName>
    <definedName name="ASSET4" localSheetId="23">#REF!</definedName>
    <definedName name="ASSET4" localSheetId="14">#REF!</definedName>
    <definedName name="ASSET4" localSheetId="19">#REF!</definedName>
    <definedName name="ASSET4" localSheetId="16">#REF!</definedName>
    <definedName name="ASSET4">#REF!</definedName>
    <definedName name="aug" localSheetId="12">#REF!</definedName>
    <definedName name="aug" localSheetId="7">#REF!</definedName>
    <definedName name="aug" localSheetId="18">#REF!</definedName>
    <definedName name="aug" localSheetId="19">#REF!</definedName>
    <definedName name="aug">#REF!</definedName>
    <definedName name="B" localSheetId="12">#REF!</definedName>
    <definedName name="B" localSheetId="13">#REF!</definedName>
    <definedName name="B" localSheetId="7">#REF!</definedName>
    <definedName name="B" localSheetId="18">#REF!</definedName>
    <definedName name="B" localSheetId="23">#REF!</definedName>
    <definedName name="B" localSheetId="14">#REF!</definedName>
    <definedName name="B" localSheetId="19">#REF!</definedName>
    <definedName name="B" localSheetId="16">#REF!</definedName>
    <definedName name="B">#REF!</definedName>
    <definedName name="bahrain">[19]BAHRAIN!$A$14:$F$23</definedName>
    <definedName name="BAHRAIN1">[3]Sheet4!$L$14:$L$105</definedName>
    <definedName name="BAHRAIN2">[3]Sheet4!$Y$14:$Y$105</definedName>
    <definedName name="BalanceSheetDates" localSheetId="12">#REF!</definedName>
    <definedName name="BalanceSheetDates">#REF!</definedName>
    <definedName name="bela" localSheetId="12">#REF!</definedName>
    <definedName name="bela" localSheetId="7">#REF!</definedName>
    <definedName name="bela" localSheetId="18">#REF!</definedName>
    <definedName name="bela" localSheetId="19">#REF!</definedName>
    <definedName name="bela">#REF!</definedName>
    <definedName name="BELOW" localSheetId="12">#REF!</definedName>
    <definedName name="BELOW" localSheetId="13">#REF!</definedName>
    <definedName name="BELOW" localSheetId="7">#REF!</definedName>
    <definedName name="BELOW" localSheetId="18">#REF!</definedName>
    <definedName name="BELOW" localSheetId="19">#REF!</definedName>
    <definedName name="BELOW">#REF!</definedName>
    <definedName name="BG_Del" hidden="1">15</definedName>
    <definedName name="BG_Ins" hidden="1">4</definedName>
    <definedName name="BG_Mod" hidden="1">6</definedName>
    <definedName name="BOOK" localSheetId="12">#REF!</definedName>
    <definedName name="BOOK">#REF!</definedName>
    <definedName name="BOTTOM" localSheetId="12">#REF!</definedName>
    <definedName name="BOTTOM" localSheetId="13">#REF!</definedName>
    <definedName name="BOTTOM" localSheetId="7">#REF!</definedName>
    <definedName name="BOTTOM" localSheetId="18">#REF!</definedName>
    <definedName name="BOTTOM" localSheetId="23">#REF!</definedName>
    <definedName name="BOTTOM" localSheetId="14">#REF!</definedName>
    <definedName name="BOTTOM" localSheetId="19">#REF!</definedName>
    <definedName name="BOTTOM" localSheetId="16">#REF!</definedName>
    <definedName name="BOTTOM">#REF!</definedName>
    <definedName name="BS">[20]woRKING!$A$177:$D$346</definedName>
    <definedName name="BSC" localSheetId="12">#REF!</definedName>
    <definedName name="BSC" localSheetId="7">#REF!</definedName>
    <definedName name="BSC" localSheetId="18">#REF!</definedName>
    <definedName name="BSC" localSheetId="19">#REF!</definedName>
    <definedName name="BSC">#REF!</definedName>
    <definedName name="BSCO" localSheetId="12">#REF!</definedName>
    <definedName name="BSCO" localSheetId="7">#REF!</definedName>
    <definedName name="BSCO" localSheetId="18">#REF!</definedName>
    <definedName name="BSCO" localSheetId="19">#REF!</definedName>
    <definedName name="BSCO">#REF!</definedName>
    <definedName name="BSCO1" localSheetId="12">#REF!</definedName>
    <definedName name="BSCO1" localSheetId="7">#REF!</definedName>
    <definedName name="BSCO1" localSheetId="18">#REF!</definedName>
    <definedName name="BSCO1" localSheetId="19">#REF!</definedName>
    <definedName name="BSCO1">#REF!</definedName>
    <definedName name="BSCOMB" localSheetId="12">#REF!</definedName>
    <definedName name="BSCOMB" localSheetId="13">#REF!</definedName>
    <definedName name="BSCOMB" localSheetId="7">#REF!</definedName>
    <definedName name="BSCOMB" localSheetId="18">#REF!</definedName>
    <definedName name="BSCOMB" localSheetId="23">#REF!</definedName>
    <definedName name="BSCOMB" localSheetId="14">#REF!</definedName>
    <definedName name="BSCOMB" localSheetId="19">#REF!</definedName>
    <definedName name="BSCOMB" localSheetId="16">#REF!</definedName>
    <definedName name="BSCOMB">#REF!</definedName>
    <definedName name="BSD" localSheetId="12">#REF!</definedName>
    <definedName name="BSD" localSheetId="7">#REF!</definedName>
    <definedName name="BSD" localSheetId="18">#REF!</definedName>
    <definedName name="BSD" localSheetId="19">#REF!</definedName>
    <definedName name="BSD">#REF!</definedName>
    <definedName name="bsdec">'[21]December 06'!$A$93:$D$158</definedName>
    <definedName name="bsdec06" localSheetId="12">#REF!</definedName>
    <definedName name="bsdec06" localSheetId="7">#REF!</definedName>
    <definedName name="bsdec06" localSheetId="18">#REF!</definedName>
    <definedName name="bsdec06" localSheetId="23">#REF!</definedName>
    <definedName name="bsdec06" localSheetId="14">#REF!</definedName>
    <definedName name="bsdec06" localSheetId="19">#REF!</definedName>
    <definedName name="bsdec06" localSheetId="16">#REF!</definedName>
    <definedName name="bsdec06">#REF!</definedName>
    <definedName name="BSH" localSheetId="12">#REF!</definedName>
    <definedName name="BSH" localSheetId="7">#REF!</definedName>
    <definedName name="BSH" localSheetId="18">#REF!</definedName>
    <definedName name="BSH" localSheetId="19">#REF!</definedName>
    <definedName name="BSH">#REF!</definedName>
    <definedName name="bsmarch">[22]MarchSL904!$A$102:$C$191</definedName>
    <definedName name="bsmarch07">'[23]March 110'!$A$84:$C$153</definedName>
    <definedName name="bsn" localSheetId="12">#REF!</definedName>
    <definedName name="bsn" localSheetId="7">#REF!</definedName>
    <definedName name="bsn" localSheetId="18">#REF!</definedName>
    <definedName name="bsn" localSheetId="23">#REF!</definedName>
    <definedName name="bsn" localSheetId="14">#REF!</definedName>
    <definedName name="bsn" localSheetId="19">#REF!</definedName>
    <definedName name="bsn" localSheetId="16">#REF!</definedName>
    <definedName name="bsn">#REF!</definedName>
    <definedName name="BSP" localSheetId="12">#REF!</definedName>
    <definedName name="BSP" localSheetId="7">#REF!</definedName>
    <definedName name="BSP" localSheetId="18">#REF!</definedName>
    <definedName name="BSP" localSheetId="19">#REF!</definedName>
    <definedName name="BSP">#REF!</definedName>
    <definedName name="BSS" localSheetId="12">#REF!</definedName>
    <definedName name="BSS" localSheetId="7">#REF!</definedName>
    <definedName name="BSS" localSheetId="18">#REF!</definedName>
    <definedName name="BSS" localSheetId="19">#REF!</definedName>
    <definedName name="BSS">#REF!</definedName>
    <definedName name="BST" localSheetId="12">#REF!</definedName>
    <definedName name="BST" localSheetId="7">#REF!</definedName>
    <definedName name="BST" localSheetId="18">#REF!</definedName>
    <definedName name="BST" localSheetId="19">#REF!</definedName>
    <definedName name="BST">#REF!</definedName>
    <definedName name="BuiltIn_AutoFilter___2" localSheetId="12">#REF!</definedName>
    <definedName name="BuiltIn_AutoFilter___2" localSheetId="13">#REF!</definedName>
    <definedName name="BuiltIn_AutoFilter___2" localSheetId="7">#REF!</definedName>
    <definedName name="BuiltIn_AutoFilter___2" localSheetId="18">#REF!</definedName>
    <definedName name="BuiltIn_AutoFilter___2" localSheetId="23">#REF!</definedName>
    <definedName name="BuiltIn_AutoFilter___2" localSheetId="14">#REF!</definedName>
    <definedName name="BuiltIn_AutoFilter___2" localSheetId="19">#REF!</definedName>
    <definedName name="BuiltIn_AutoFilter___2" localSheetId="16">#REF!</definedName>
    <definedName name="BuiltIn_AutoFilter___2">#REF!</definedName>
    <definedName name="CC" localSheetId="12">'[1]last qrt2001'!#REF!</definedName>
    <definedName name="CC" localSheetId="13">'[1]last qrt2001'!#REF!</definedName>
    <definedName name="CC" localSheetId="7">[9]Sheet3!#REF!</definedName>
    <definedName name="CC" localSheetId="18">[9]Sheet3!#REF!</definedName>
    <definedName name="CC" localSheetId="19">[9]Sheet3!#REF!</definedName>
    <definedName name="CC">[9]Sheet3!#REF!</definedName>
    <definedName name="CH.IN.EQUIT" localSheetId="12">[17]acct!#REF!</definedName>
    <definedName name="CH.IN.EQUIT" localSheetId="7">[17]acct!#REF!</definedName>
    <definedName name="CH.IN.EQUIT" localSheetId="18">[17]acct!#REF!</definedName>
    <definedName name="CH.IN.EQUIT" localSheetId="19">[17]acct!#REF!</definedName>
    <definedName name="CH.IN.EQUIT">[17]acct!#REF!</definedName>
    <definedName name="cHECK" localSheetId="12">[17]acct!#REF!</definedName>
    <definedName name="cHECK" localSheetId="7">[17]acct!#REF!</definedName>
    <definedName name="cHECK" localSheetId="18">[17]acct!#REF!</definedName>
    <definedName name="cHECK" localSheetId="19">[17]acct!#REF!</definedName>
    <definedName name="cHECK">[17]acct!#REF!</definedName>
    <definedName name="chk" localSheetId="12">#REF!</definedName>
    <definedName name="chk" localSheetId="7">#REF!</definedName>
    <definedName name="chk" localSheetId="18">#REF!</definedName>
    <definedName name="chk" localSheetId="19">#REF!</definedName>
    <definedName name="chk">#REF!</definedName>
    <definedName name="Classified" localSheetId="12">#REF!</definedName>
    <definedName name="Classified" localSheetId="7">#REF!</definedName>
    <definedName name="Classified" localSheetId="18">#REF!</definedName>
    <definedName name="Classified" localSheetId="19">#REF!</definedName>
    <definedName name="Classified">#REF!</definedName>
    <definedName name="closing" localSheetId="12">[12]BSDOMOVS!#REF!</definedName>
    <definedName name="closing" localSheetId="7">[12]BSDOMOVS!#REF!</definedName>
    <definedName name="closing" localSheetId="18">[12]BSDOMOVS!#REF!</definedName>
    <definedName name="closing" localSheetId="19">[12]BSDOMOVS!#REF!</definedName>
    <definedName name="closing">[12]BSDOMOVS!#REF!</definedName>
    <definedName name="ColorNames" localSheetId="12">#REF!</definedName>
    <definedName name="ColorNames">#REF!</definedName>
    <definedName name="Commentary" localSheetId="12">#REF!</definedName>
    <definedName name="Commentary" localSheetId="7">#REF!</definedName>
    <definedName name="Commentary" localSheetId="18">#REF!</definedName>
    <definedName name="Commentary" localSheetId="19">#REF!</definedName>
    <definedName name="Commentary">#REF!</definedName>
    <definedName name="cons" localSheetId="8" hidden="1">{"'CALL MONEY'!$K$53"}</definedName>
    <definedName name="cons" localSheetId="22" hidden="1">{"'CALL MONEY'!$K$53"}</definedName>
    <definedName name="cons" localSheetId="6" hidden="1">{"'CALL MONEY'!$K$53"}</definedName>
    <definedName name="cons" localSheetId="7" hidden="1">{"'CALL MONEY'!$K$53"}</definedName>
    <definedName name="cons" localSheetId="3" hidden="1">{"'CALL MONEY'!$K$53"}</definedName>
    <definedName name="cons" localSheetId="4" hidden="1">{"'CALL MONEY'!$K$53"}</definedName>
    <definedName name="cons" localSheetId="18" hidden="1">{"'CALL MONEY'!$K$53"}</definedName>
    <definedName name="cons" localSheetId="23" hidden="1">{"'CALL MONEY'!$K$53"}</definedName>
    <definedName name="cons" localSheetId="2" hidden="1">{"'CALL MONEY'!$K$53"}</definedName>
    <definedName name="cons" localSheetId="14" hidden="1">{"'CALL MONEY'!$K$53"}</definedName>
    <definedName name="cons" localSheetId="15" hidden="1">{"'CALL MONEY'!$K$53"}</definedName>
    <definedName name="cons" localSheetId="5" hidden="1">{"'CALL MONEY'!$K$53"}</definedName>
    <definedName name="cons" localSheetId="19" hidden="1">{"'CALL MONEY'!$K$53"}</definedName>
    <definedName name="cons" localSheetId="16" hidden="1">{"'CALL MONEY'!$K$53"}</definedName>
    <definedName name="cons" hidden="1">{"'CALL MONEY'!$K$53"}</definedName>
    <definedName name="Conventions" localSheetId="12">#REF!</definedName>
    <definedName name="Conventions">#REF!</definedName>
    <definedName name="Copy" localSheetId="12" hidden="1">{"'CALL MONEY'!$K$53"}</definedName>
    <definedName name="Copy" localSheetId="13" hidden="1">{"'CALL MONEY'!$K$53"}</definedName>
    <definedName name="Copy" hidden="1">{"'CALL MONEY'!$K$53"}</definedName>
    <definedName name="CRED" localSheetId="12">[17]acct!#REF!</definedName>
    <definedName name="CRED" localSheetId="7">[17]acct!#REF!</definedName>
    <definedName name="CRED" localSheetId="18">[17]acct!#REF!</definedName>
    <definedName name="CRED" localSheetId="19">[17]acct!#REF!</definedName>
    <definedName name="CRED">[17]acct!#REF!</definedName>
    <definedName name="Currency" localSheetId="12">#REF!</definedName>
    <definedName name="Currency" localSheetId="13">#REF!</definedName>
    <definedName name="Currency" localSheetId="7">#REF!</definedName>
    <definedName name="Currency" localSheetId="18">#REF!</definedName>
    <definedName name="Currency" localSheetId="23">#REF!</definedName>
    <definedName name="Currency" localSheetId="14">#REF!</definedName>
    <definedName name="Currency" localSheetId="19">#REF!</definedName>
    <definedName name="Currency" localSheetId="16">#REF!</definedName>
    <definedName name="Currency">#REF!</definedName>
    <definedName name="d" localSheetId="12">#REF!</definedName>
    <definedName name="d" localSheetId="7">#REF!</definedName>
    <definedName name="d" localSheetId="18">#REF!</definedName>
    <definedName name="d" localSheetId="19">#REF!</definedName>
    <definedName name="d">#REF!</definedName>
    <definedName name="da" localSheetId="12">#REF!</definedName>
    <definedName name="da" localSheetId="7">#REF!</definedName>
    <definedName name="da" localSheetId="18">#REF!</definedName>
    <definedName name="da" localSheetId="19">#REF!</definedName>
    <definedName name="da">#REF!</definedName>
    <definedName name="Dbase" localSheetId="12">#REF!</definedName>
    <definedName name="Dbase" localSheetId="7">#REF!</definedName>
    <definedName name="Dbase" localSheetId="18">#REF!</definedName>
    <definedName name="Dbase" localSheetId="19">#REF!</definedName>
    <definedName name="Dbase">#REF!</definedName>
    <definedName name="DD" localSheetId="12">'[1]last qrt2001'!#REF!</definedName>
    <definedName name="DD" localSheetId="7">'[1]last qrt2001'!#REF!</definedName>
    <definedName name="DD" localSheetId="18">'[1]last qrt2001'!#REF!</definedName>
    <definedName name="DD" localSheetId="19">'[1]last qrt2001'!#REF!</definedName>
    <definedName name="DD">'[1]last qrt2001'!#REF!</definedName>
    <definedName name="dddd" localSheetId="12">'[24]BS-OVS'!#REF!</definedName>
    <definedName name="dddd" localSheetId="13">'[24]BS-OVS'!#REF!</definedName>
    <definedName name="dddd" localSheetId="7">'[24]BS-OVS'!#REF!</definedName>
    <definedName name="dddd" localSheetId="18">'[24]BS-OVS'!#REF!</definedName>
    <definedName name="dddd" localSheetId="19">'[24]BS-OVS'!#REF!</definedName>
    <definedName name="dddd">'[24]BS-OVS'!#REF!</definedName>
    <definedName name="dEFF.LIA" localSheetId="12">[17]acct!#REF!</definedName>
    <definedName name="dEFF.LIA" localSheetId="7">[17]acct!#REF!</definedName>
    <definedName name="dEFF.LIA" localSheetId="18">[17]acct!#REF!</definedName>
    <definedName name="dEFF.LIA" localSheetId="19">[17]acct!#REF!</definedName>
    <definedName name="dEFF.LIA">[17]acct!#REF!</definedName>
    <definedName name="Description" localSheetId="12">#REF!</definedName>
    <definedName name="Description" localSheetId="7">#REF!</definedName>
    <definedName name="Description" localSheetId="18">#REF!</definedName>
    <definedName name="Description" localSheetId="23">#REF!</definedName>
    <definedName name="Description" localSheetId="14">#REF!</definedName>
    <definedName name="Description" localSheetId="19">#REF!</definedName>
    <definedName name="Description" localSheetId="16">#REF!</definedName>
    <definedName name="Description">#REF!</definedName>
    <definedName name="dfaf" localSheetId="12">#REF!</definedName>
    <definedName name="dfaf">#REF!</definedName>
    <definedName name="DFD" localSheetId="12">'[25]Abu Dhabi'!#REF!</definedName>
    <definedName name="DFD" localSheetId="7">'[25]Abu Dhabi'!#REF!</definedName>
    <definedName name="DFD" localSheetId="18">'[25]Abu Dhabi'!#REF!</definedName>
    <definedName name="DFD" localSheetId="19">'[25]Abu Dhabi'!#REF!</definedName>
    <definedName name="DFD">'[25]Abu Dhabi'!#REF!</definedName>
    <definedName name="Differences" localSheetId="12">#REF!</definedName>
    <definedName name="Differences" localSheetId="7">#REF!</definedName>
    <definedName name="Differences" localSheetId="18">#REF!</definedName>
    <definedName name="Differences" localSheetId="19">#REF!</definedName>
    <definedName name="Differences">#REF!</definedName>
    <definedName name="Differnces" localSheetId="12">'[26]Notes1-5'!#REF!</definedName>
    <definedName name="Differnces" localSheetId="7">'[26]Notes1-5'!#REF!</definedName>
    <definedName name="Differnces" localSheetId="18">'[26]Notes1-5'!#REF!</definedName>
    <definedName name="Differnces" localSheetId="19">'[26]Notes1-5'!#REF!</definedName>
    <definedName name="Differnces">'[26]Notes1-5'!#REF!</definedName>
    <definedName name="doha">'[19]DOHA QATAR '!$A$14:$P$33</definedName>
    <definedName name="dom" localSheetId="12">#REF!</definedName>
    <definedName name="dom" localSheetId="7">#REF!</definedName>
    <definedName name="dom" localSheetId="18">#REF!</definedName>
    <definedName name="dom" localSheetId="19">#REF!</definedName>
    <definedName name="dom">#REF!</definedName>
    <definedName name="dombs" localSheetId="12">#REF!</definedName>
    <definedName name="dombs" localSheetId="7">#REF!</definedName>
    <definedName name="dombs" localSheetId="18">#REF!</definedName>
    <definedName name="dombs" localSheetId="19">#REF!</definedName>
    <definedName name="dombs">#REF!</definedName>
    <definedName name="DOMOVS" localSheetId="12">#REF!</definedName>
    <definedName name="DOMOVS" localSheetId="13">#REF!</definedName>
    <definedName name="DOMOVS" localSheetId="7">#REF!</definedName>
    <definedName name="DOMOVS" localSheetId="18">#REF!</definedName>
    <definedName name="DOMOVS" localSheetId="23">#REF!</definedName>
    <definedName name="DOMOVS" localSheetId="14">#REF!</definedName>
    <definedName name="DOMOVS" localSheetId="19">#REF!</definedName>
    <definedName name="DOMOVS" localSheetId="16">#REF!</definedName>
    <definedName name="DOMOVS">#REF!</definedName>
    <definedName name="dr" localSheetId="12">#REF!</definedName>
    <definedName name="dr" localSheetId="7">#REF!</definedName>
    <definedName name="dr" localSheetId="18">#REF!</definedName>
    <definedName name="dr" localSheetId="19">#REF!</definedName>
    <definedName name="dr">#REF!</definedName>
    <definedName name="dx" localSheetId="12">#REF!</definedName>
    <definedName name="dx" localSheetId="7">#REF!</definedName>
    <definedName name="dx" localSheetId="18">#REF!</definedName>
    <definedName name="dx" localSheetId="19">#REF!</definedName>
    <definedName name="dx">#REF!</definedName>
    <definedName name="E" localSheetId="12">#REF!</definedName>
    <definedName name="E" localSheetId="7">#REF!</definedName>
    <definedName name="E" localSheetId="18">#REF!</definedName>
    <definedName name="E" localSheetId="19">#REF!</definedName>
    <definedName name="E">#REF!</definedName>
    <definedName name="EPAGE1" localSheetId="12">#REF!</definedName>
    <definedName name="EPAGE1" localSheetId="13">#REF!</definedName>
    <definedName name="EPAGE1" localSheetId="7">#REF!</definedName>
    <definedName name="EPAGE1" localSheetId="18">#REF!</definedName>
    <definedName name="EPAGE1" localSheetId="23">#REF!</definedName>
    <definedName name="EPAGE1" localSheetId="14">#REF!</definedName>
    <definedName name="EPAGE1" localSheetId="19">#REF!</definedName>
    <definedName name="EPAGE1" localSheetId="16">#REF!</definedName>
    <definedName name="EPAGE1">#REF!</definedName>
    <definedName name="EXP" localSheetId="12">'[1]last qrt2001'!#REF!</definedName>
    <definedName name="EXP" localSheetId="13">'[1]last qrt2001'!#REF!</definedName>
    <definedName name="EXP" localSheetId="7">#REF!</definedName>
    <definedName name="EXP" localSheetId="18">#REF!</definedName>
    <definedName name="EXP" localSheetId="23">#REF!</definedName>
    <definedName name="EXP" localSheetId="14">#REF!</definedName>
    <definedName name="EXP" localSheetId="19">#REF!</definedName>
    <definedName name="EXP" localSheetId="16">#REF!</definedName>
    <definedName name="EXP">#REF!</definedName>
    <definedName name="F" localSheetId="12">'[27]FINANCE CODE'!#REF!</definedName>
    <definedName name="F" localSheetId="7">'[27]FINANCE CODE'!#REF!</definedName>
    <definedName name="F" localSheetId="18">'[27]FINANCE CODE'!#REF!</definedName>
    <definedName name="F" localSheetId="19">'[27]FINANCE CODE'!#REF!</definedName>
    <definedName name="F">'[27]FINANCE CODE'!#REF!</definedName>
    <definedName name="f_name">'[28]A-C CODE &amp; NAME'!$B$1:$C$193</definedName>
    <definedName name="FA" localSheetId="12">[17]acct!#REF!</definedName>
    <definedName name="FA" localSheetId="7">[17]acct!#REF!</definedName>
    <definedName name="FA" localSheetId="18">[17]acct!#REF!</definedName>
    <definedName name="FA" localSheetId="19">[17]acct!#REF!</definedName>
    <definedName name="FA">[17]acct!#REF!</definedName>
    <definedName name="Fcy" localSheetId="12">#REF!</definedName>
    <definedName name="Fcy" localSheetId="7">#REF!</definedName>
    <definedName name="Fcy" localSheetId="18">#REF!</definedName>
    <definedName name="Fcy" localSheetId="19">#REF!</definedName>
    <definedName name="Fcy">#REF!</definedName>
    <definedName name="FDE" localSheetId="12">'[29]Notes1-5'!#REF!</definedName>
    <definedName name="FDE" localSheetId="7">'[29]Notes1-5'!#REF!</definedName>
    <definedName name="FDE" localSheetId="18">'[29]Notes1-5'!#REF!</definedName>
    <definedName name="FDE" localSheetId="19">'[29]Notes1-5'!#REF!</definedName>
    <definedName name="FDE">'[29]Notes1-5'!#REF!</definedName>
    <definedName name="FinancialGraphs" localSheetId="12">#REF!</definedName>
    <definedName name="FinancialGraphs" localSheetId="7">#REF!</definedName>
    <definedName name="FinancialGraphs" localSheetId="18">#REF!</definedName>
    <definedName name="FinancialGraphs" localSheetId="19">#REF!</definedName>
    <definedName name="FinancialGraphs">#REF!</definedName>
    <definedName name="FINASSET" localSheetId="12">[17]acct!#REF!</definedName>
    <definedName name="FINASSET" localSheetId="7">[17]acct!#REF!</definedName>
    <definedName name="FINASSET" localSheetId="18">[17]acct!#REF!</definedName>
    <definedName name="FINASSET" localSheetId="19">[17]acct!#REF!</definedName>
    <definedName name="FINASSET">[17]acct!#REF!</definedName>
    <definedName name="flegtcher123" hidden="1">{"'CALL MONEY'!$K$53"}</definedName>
    <definedName name="fletcher" hidden="1">{"'CALL MONEY'!$K$53"}</definedName>
    <definedName name="Foreign" localSheetId="12">#REF!</definedName>
    <definedName name="Foreign" localSheetId="7">#REF!</definedName>
    <definedName name="Foreign" localSheetId="18">#REF!</definedName>
    <definedName name="Foreign" localSheetId="23">#REF!</definedName>
    <definedName name="Foreign" localSheetId="14">#REF!</definedName>
    <definedName name="Foreign" localSheetId="19">#REF!</definedName>
    <definedName name="Foreign" localSheetId="16">#REF!</definedName>
    <definedName name="Foreign">#REF!</definedName>
    <definedName name="FORM" localSheetId="12">#REF!</definedName>
    <definedName name="FORM" localSheetId="13">#REF!</definedName>
    <definedName name="FORM" localSheetId="7">#REF!</definedName>
    <definedName name="FORM" localSheetId="18">#REF!</definedName>
    <definedName name="FORM" localSheetId="19">#REF!</definedName>
    <definedName name="FORM">#REF!</definedName>
    <definedName name="FP_EU_0206__00246_04" localSheetId="12">#REF!</definedName>
    <definedName name="FP_EU_0206__00246_04" localSheetId="7">#REF!</definedName>
    <definedName name="FP_EU_0206__00246_04" localSheetId="18">#REF!</definedName>
    <definedName name="FP_EU_0206__00246_04" localSheetId="19">#REF!</definedName>
    <definedName name="FP_EU_0206__00246_04">#REF!</definedName>
    <definedName name="FSA" localSheetId="12">#REF!</definedName>
    <definedName name="FSA" localSheetId="13">#REF!</definedName>
    <definedName name="FSA" localSheetId="7">#REF!</definedName>
    <definedName name="FSA" localSheetId="18">#REF!</definedName>
    <definedName name="FSA" localSheetId="19">#REF!</definedName>
    <definedName name="FSA">#REF!</definedName>
    <definedName name="G" localSheetId="12">#REF!</definedName>
    <definedName name="G" localSheetId="7">#REF!</definedName>
    <definedName name="G" localSheetId="18">#REF!</definedName>
    <definedName name="G" localSheetId="19">#REF!</definedName>
    <definedName name="G">#REF!</definedName>
    <definedName name="g54." localSheetId="12">#REF!</definedName>
    <definedName name="g54." localSheetId="7">#REF!</definedName>
    <definedName name="g54." localSheetId="18">#REF!</definedName>
    <definedName name="g54." localSheetId="23">#REF!</definedName>
    <definedName name="g54." localSheetId="14">#REF!</definedName>
    <definedName name="g54." localSheetId="19">#REF!</definedName>
    <definedName name="g54." localSheetId="16">#REF!</definedName>
    <definedName name="g54.">#REF!</definedName>
    <definedName name="Hamid" localSheetId="12">#REF!</definedName>
    <definedName name="Hamid" localSheetId="7">#REF!</definedName>
    <definedName name="Hamid" localSheetId="18">#REF!</definedName>
    <definedName name="Hamid" localSheetId="19">#REF!</definedName>
    <definedName name="Hamid">#REF!</definedName>
    <definedName name="hh" localSheetId="8" hidden="1">{"'CALL MONEY'!$K$53"}</definedName>
    <definedName name="hh" localSheetId="22" hidden="1">{"'CALL MONEY'!$K$53"}</definedName>
    <definedName name="hh" localSheetId="6" hidden="1">{"'CALL MONEY'!$K$53"}</definedName>
    <definedName name="hh" localSheetId="7" hidden="1">{"'CALL MONEY'!$K$53"}</definedName>
    <definedName name="hh" localSheetId="3" hidden="1">{"'CALL MONEY'!$K$53"}</definedName>
    <definedName name="hh" localSheetId="4" hidden="1">{"'CALL MONEY'!$K$53"}</definedName>
    <definedName name="hh" localSheetId="18" hidden="1">{"'CALL MONEY'!$K$53"}</definedName>
    <definedName name="hh" localSheetId="23" hidden="1">{"'CALL MONEY'!$K$53"}</definedName>
    <definedName name="hh" localSheetId="2" hidden="1">{"'CALL MONEY'!$K$53"}</definedName>
    <definedName name="hh" localSheetId="14" hidden="1">{"'CALL MONEY'!$K$53"}</definedName>
    <definedName name="hh" localSheetId="15" hidden="1">{"'CALL MONEY'!$K$53"}</definedName>
    <definedName name="hh" localSheetId="5" hidden="1">{"'CALL MONEY'!$K$53"}</definedName>
    <definedName name="hh" localSheetId="19" hidden="1">{"'CALL MONEY'!$K$53"}</definedName>
    <definedName name="hh" localSheetId="16" hidden="1">{"'CALL MONEY'!$K$53"}</definedName>
    <definedName name="hh" hidden="1">{"'CALL MONEY'!$K$53"}</definedName>
    <definedName name="html" localSheetId="12" hidden="1">{"'CALL MONEY'!$K$53"}</definedName>
    <definedName name="html" localSheetId="13" hidden="1">{"'CALL MONEY'!$K$53"}</definedName>
    <definedName name="html" hidden="1">{"'CALL MONEY'!$K$53"}</definedName>
    <definedName name="html_cntrl" localSheetId="8" hidden="1">{"'CALL MONEY'!$K$53"}</definedName>
    <definedName name="html_cntrl" localSheetId="12" hidden="1">{"'CALL MONEY'!$K$53"}</definedName>
    <definedName name="html_cntrl" localSheetId="13" hidden="1">{"'CALL MONEY'!$K$53"}</definedName>
    <definedName name="html_cntrl" localSheetId="1" hidden="1">{"'CALL MONEY'!$K$53"}</definedName>
    <definedName name="html_cntrl" localSheetId="22" hidden="1">{"'CALL MONEY'!$K$53"}</definedName>
    <definedName name="html_cntrl" localSheetId="6" hidden="1">{"'CALL MONEY'!$K$53"}</definedName>
    <definedName name="html_cntrl" localSheetId="7" hidden="1">{"'CALL MONEY'!$K$53"}</definedName>
    <definedName name="html_cntrl" localSheetId="3" hidden="1">{"'CALL MONEY'!$K$53"}</definedName>
    <definedName name="html_cntrl" localSheetId="4" hidden="1">{"'CALL MONEY'!$K$53"}</definedName>
    <definedName name="html_cntrl" localSheetId="18" hidden="1">{"'CALL MONEY'!$K$53"}</definedName>
    <definedName name="html_cntrl" localSheetId="23" hidden="1">{"'CALL MONEY'!$K$53"}</definedName>
    <definedName name="html_cntrl" localSheetId="2" hidden="1">{"'CALL MONEY'!$K$53"}</definedName>
    <definedName name="html_cntrl" localSheetId="14" hidden="1">{"'CALL MONEY'!$K$53"}</definedName>
    <definedName name="html_cntrl" localSheetId="15" hidden="1">{"'CALL MONEY'!$K$53"}</definedName>
    <definedName name="html_cntrl" localSheetId="5" hidden="1">{"'CALL MONEY'!$K$53"}</definedName>
    <definedName name="html_cntrl" localSheetId="19" hidden="1">{"'CALL MONEY'!$K$53"}</definedName>
    <definedName name="html_cntrl" localSheetId="16" hidden="1">{"'CALL MONEY'!$K$53"}</definedName>
    <definedName name="html_cntrl" hidden="1">{"'CALL MONEY'!$K$53"}</definedName>
    <definedName name="html_cntrl465454" localSheetId="8" hidden="1">{"'CALL MONEY'!$K$53"}</definedName>
    <definedName name="html_cntrl465454" localSheetId="12" hidden="1">{"'CALL MONEY'!$K$53"}</definedName>
    <definedName name="html_cntrl465454" localSheetId="13" hidden="1">{"'CALL MONEY'!$K$53"}</definedName>
    <definedName name="html_cntrl465454" localSheetId="1" hidden="1">{"'CALL MONEY'!$K$53"}</definedName>
    <definedName name="html_cntrl465454" localSheetId="22" hidden="1">{"'CALL MONEY'!$K$53"}</definedName>
    <definedName name="html_cntrl465454" localSheetId="6" hidden="1">{"'CALL MONEY'!$K$53"}</definedName>
    <definedName name="html_cntrl465454" localSheetId="7" hidden="1">{"'CALL MONEY'!$K$53"}</definedName>
    <definedName name="html_cntrl465454" localSheetId="3" hidden="1">{"'CALL MONEY'!$K$53"}</definedName>
    <definedName name="html_cntrl465454" localSheetId="4" hidden="1">{"'CALL MONEY'!$K$53"}</definedName>
    <definedName name="html_cntrl465454" localSheetId="18" hidden="1">{"'CALL MONEY'!$K$53"}</definedName>
    <definedName name="html_cntrl465454" localSheetId="23" hidden="1">{"'CALL MONEY'!$K$53"}</definedName>
    <definedName name="html_cntrl465454" localSheetId="2" hidden="1">{"'CALL MONEY'!$K$53"}</definedName>
    <definedName name="html_cntrl465454" localSheetId="14" hidden="1">{"'CALL MONEY'!$K$53"}</definedName>
    <definedName name="html_cntrl465454" localSheetId="15" hidden="1">{"'CALL MONEY'!$K$53"}</definedName>
    <definedName name="html_cntrl465454" localSheetId="5" hidden="1">{"'CALL MONEY'!$K$53"}</definedName>
    <definedName name="html_cntrl465454" localSheetId="19" hidden="1">{"'CALL MONEY'!$K$53"}</definedName>
    <definedName name="html_cntrl465454" localSheetId="16" hidden="1">{"'CALL MONEY'!$K$53"}</definedName>
    <definedName name="html_cntrl465454" hidden="1">{"'CALL MONEY'!$K$53"}</definedName>
    <definedName name="HTML_CodePage" hidden="1">1252</definedName>
    <definedName name="HTML_Control" localSheetId="8" hidden="1">{"'CALL MONEY'!$K$53"}</definedName>
    <definedName name="HTML_Control" localSheetId="12" hidden="1">{"'CALL MONEY'!$K$53"}</definedName>
    <definedName name="HTML_Control" localSheetId="13" hidden="1">{"'CALL MONEY'!$K$53"}</definedName>
    <definedName name="HTML_Control" localSheetId="1" hidden="1">{"'CALL MONEY'!$K$53"}</definedName>
    <definedName name="HTML_Control" localSheetId="22" hidden="1">{"'CALL MONEY'!$K$53"}</definedName>
    <definedName name="HTML_Control" localSheetId="6" hidden="1">{"'CALL MONEY'!$K$53"}</definedName>
    <definedName name="HTML_Control" localSheetId="7" hidden="1">{"'CALL MONEY'!$K$53"}</definedName>
    <definedName name="HTML_Control" localSheetId="3" hidden="1">{"'CALL MONEY'!$K$53"}</definedName>
    <definedName name="HTML_Control" localSheetId="4" hidden="1">{"'CALL MONEY'!$K$53"}</definedName>
    <definedName name="HTML_Control" localSheetId="18" hidden="1">{"'CALL MONEY'!$K$53"}</definedName>
    <definedName name="HTML_Control" localSheetId="23" hidden="1">{"'CALL MONEY'!$K$53"}</definedName>
    <definedName name="HTML_Control" localSheetId="2" hidden="1">{"'CALL MONEY'!$K$53"}</definedName>
    <definedName name="HTML_Control" localSheetId="14" hidden="1">{"'CALL MONEY'!$K$53"}</definedName>
    <definedName name="HTML_Control" localSheetId="15" hidden="1">{"'CALL MONEY'!$K$53"}</definedName>
    <definedName name="HTML_Control" localSheetId="5" hidden="1">{"'CALL MONEY'!$K$53"}</definedName>
    <definedName name="HTML_Control" localSheetId="19" hidden="1">{"'CALL MONEY'!$K$53"}</definedName>
    <definedName name="HTML_Control" localSheetId="16" hidden="1">{"'CALL MONEY'!$K$53"}</definedName>
    <definedName name="HTML_Control" hidden="1">{"'CALL MONEY'!$K$53"}</definedName>
    <definedName name="html_ctl78" localSheetId="8" hidden="1">{"'CALL MONEY'!$K$53"}</definedName>
    <definedName name="html_ctl78" localSheetId="12" hidden="1">{"'CALL MONEY'!$K$53"}</definedName>
    <definedName name="html_ctl78" localSheetId="13" hidden="1">{"'CALL MONEY'!$K$53"}</definedName>
    <definedName name="html_ctl78" localSheetId="1" hidden="1">{"'CALL MONEY'!$K$53"}</definedName>
    <definedName name="html_ctl78" localSheetId="22" hidden="1">{"'CALL MONEY'!$K$53"}</definedName>
    <definedName name="html_ctl78" localSheetId="6" hidden="1">{"'CALL MONEY'!$K$53"}</definedName>
    <definedName name="html_ctl78" localSheetId="7" hidden="1">{"'CALL MONEY'!$K$53"}</definedName>
    <definedName name="html_ctl78" localSheetId="3" hidden="1">{"'CALL MONEY'!$K$53"}</definedName>
    <definedName name="html_ctl78" localSheetId="4" hidden="1">{"'CALL MONEY'!$K$53"}</definedName>
    <definedName name="html_ctl78" localSheetId="18" hidden="1">{"'CALL MONEY'!$K$53"}</definedName>
    <definedName name="html_ctl78" localSheetId="23" hidden="1">{"'CALL MONEY'!$K$53"}</definedName>
    <definedName name="html_ctl78" localSheetId="2" hidden="1">{"'CALL MONEY'!$K$53"}</definedName>
    <definedName name="html_ctl78" localSheetId="14" hidden="1">{"'CALL MONEY'!$K$53"}</definedName>
    <definedName name="html_ctl78" localSheetId="15" hidden="1">{"'CALL MONEY'!$K$53"}</definedName>
    <definedName name="html_ctl78" localSheetId="5" hidden="1">{"'CALL MONEY'!$K$53"}</definedName>
    <definedName name="html_ctl78" localSheetId="19" hidden="1">{"'CALL MONEY'!$K$53"}</definedName>
    <definedName name="html_ctl78" localSheetId="16"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2">#REF!</definedName>
    <definedName name="I" localSheetId="7">#REF!</definedName>
    <definedName name="I" localSheetId="18">#REF!</definedName>
    <definedName name="I" localSheetId="19">#REF!</definedName>
    <definedName name="I">#REF!</definedName>
    <definedName name="IDFUIU" localSheetId="12">#REF!</definedName>
    <definedName name="IDFUIU">#REF!</definedName>
    <definedName name="IEC" localSheetId="12">#REF!</definedName>
    <definedName name="IEC" localSheetId="7">#REF!</definedName>
    <definedName name="IEC" localSheetId="18">#REF!</definedName>
    <definedName name="IEC" localSheetId="19">#REF!</definedName>
    <definedName name="IEC">#REF!</definedName>
    <definedName name="IECO" localSheetId="12">#REF!</definedName>
    <definedName name="IECO" localSheetId="7">#REF!</definedName>
    <definedName name="IECO" localSheetId="18">#REF!</definedName>
    <definedName name="IECO" localSheetId="19">#REF!</definedName>
    <definedName name="IECO">#REF!</definedName>
    <definedName name="IECO1" localSheetId="12">#REF!</definedName>
    <definedName name="IECO1" localSheetId="7">#REF!</definedName>
    <definedName name="IECO1" localSheetId="18">#REF!</definedName>
    <definedName name="IECO1" localSheetId="19">#REF!</definedName>
    <definedName name="IECO1">#REF!</definedName>
    <definedName name="IED" localSheetId="12">#REF!</definedName>
    <definedName name="IED" localSheetId="7">#REF!</definedName>
    <definedName name="IED" localSheetId="18">#REF!</definedName>
    <definedName name="IED" localSheetId="19">#REF!</definedName>
    <definedName name="IED">#REF!</definedName>
    <definedName name="IEH" localSheetId="12">#REF!</definedName>
    <definedName name="IEH" localSheetId="7">#REF!</definedName>
    <definedName name="IEH" localSheetId="18">#REF!</definedName>
    <definedName name="IEH" localSheetId="19">#REF!</definedName>
    <definedName name="IEH">#REF!</definedName>
    <definedName name="IEP" localSheetId="12">#REF!</definedName>
    <definedName name="IEP" localSheetId="7">#REF!</definedName>
    <definedName name="IEP" localSheetId="18">#REF!</definedName>
    <definedName name="IEP" localSheetId="19">#REF!</definedName>
    <definedName name="IEP">#REF!</definedName>
    <definedName name="IES" localSheetId="12">#REF!</definedName>
    <definedName name="IES" localSheetId="7">#REF!</definedName>
    <definedName name="IES" localSheetId="18">#REF!</definedName>
    <definedName name="IES" localSheetId="19">#REF!</definedName>
    <definedName name="IES">#REF!</definedName>
    <definedName name="IET" localSheetId="12">#REF!</definedName>
    <definedName name="IET" localSheetId="7">#REF!</definedName>
    <definedName name="IET" localSheetId="18">#REF!</definedName>
    <definedName name="IET" localSheetId="19">#REF!</definedName>
    <definedName name="IET">#REF!</definedName>
    <definedName name="INC" localSheetId="12">'[1]last qrt2001'!#REF!</definedName>
    <definedName name="INC" localSheetId="13">'[1]last qrt2001'!#REF!</definedName>
    <definedName name="INC" localSheetId="7">#REF!</definedName>
    <definedName name="INC" localSheetId="18">#REF!</definedName>
    <definedName name="INC" localSheetId="23">#REF!</definedName>
    <definedName name="INC" localSheetId="14">#REF!</definedName>
    <definedName name="INC" localSheetId="19">#REF!</definedName>
    <definedName name="INC" localSheetId="16">#REF!</definedName>
    <definedName name="INC">#REF!</definedName>
    <definedName name="IncomeStatementDates" localSheetId="12">#REF!</definedName>
    <definedName name="IncomeStatementDates">#REF!</definedName>
    <definedName name="INVEST" localSheetId="12">[17]acct!#REF!</definedName>
    <definedName name="INVEST" localSheetId="7">[17]acct!#REF!</definedName>
    <definedName name="INVEST" localSheetId="18">[17]acct!#REF!</definedName>
    <definedName name="INVEST" localSheetId="19">[17]acct!#REF!</definedName>
    <definedName name="INVEST">[17]acct!#REF!</definedName>
    <definedName name="IPAGE1" localSheetId="12">#REF!</definedName>
    <definedName name="IPAGE1" localSheetId="13">#REF!</definedName>
    <definedName name="IPAGE1" localSheetId="7">#REF!</definedName>
    <definedName name="IPAGE1" localSheetId="18">#REF!</definedName>
    <definedName name="IPAGE1" localSheetId="23">#REF!</definedName>
    <definedName name="IPAGE1" localSheetId="14">#REF!</definedName>
    <definedName name="IPAGE1" localSheetId="19">#REF!</definedName>
    <definedName name="IPAGE1" localSheetId="16">#REF!</definedName>
    <definedName name="IPAGE1">#REF!</definedName>
    <definedName name="iqbal" localSheetId="12">[30]Sheet2!#REF!</definedName>
    <definedName name="iqbal" localSheetId="13">[30]Sheet2!#REF!</definedName>
    <definedName name="iqbal" localSheetId="7">[30]Sheet2!#REF!</definedName>
    <definedName name="iqbal" localSheetId="18">[30]Sheet2!#REF!</definedName>
    <definedName name="iqbal" localSheetId="19">[30]Sheet2!#REF!</definedName>
    <definedName name="iqbal">[30]Sheet2!#REF!</definedName>
    <definedName name="iu" localSheetId="12">#REF!</definedName>
    <definedName name="iu" localSheetId="7">#REF!</definedName>
    <definedName name="iu" localSheetId="18">#REF!</definedName>
    <definedName name="iu" localSheetId="23">#REF!</definedName>
    <definedName name="iu" localSheetId="14">#REF!</definedName>
    <definedName name="iu" localSheetId="19">#REF!</definedName>
    <definedName name="iu" localSheetId="16">#REF!</definedName>
    <definedName name="iu">#REF!</definedName>
    <definedName name="J" localSheetId="12">#REF!</definedName>
    <definedName name="J" localSheetId="7">#REF!</definedName>
    <definedName name="J" localSheetId="18">#REF!</definedName>
    <definedName name="J" localSheetId="19">#REF!</definedName>
    <definedName name="J">#REF!</definedName>
    <definedName name="kauser" localSheetId="12">#REF!</definedName>
    <definedName name="kauser" localSheetId="7">#REF!</definedName>
    <definedName name="kauser" localSheetId="18">#REF!</definedName>
    <definedName name="kauser" localSheetId="19">#REF!</definedName>
    <definedName name="kauser">#REF!</definedName>
    <definedName name="L" localSheetId="12">#REF!</definedName>
    <definedName name="L" localSheetId="7">#REF!</definedName>
    <definedName name="L" localSheetId="18">#REF!</definedName>
    <definedName name="L" localSheetId="19">#REF!</definedName>
    <definedName name="L">#REF!</definedName>
    <definedName name="LIAB1" localSheetId="12">#REF!</definedName>
    <definedName name="LIAB1" localSheetId="13">#REF!</definedName>
    <definedName name="LIAB1" localSheetId="7">#REF!</definedName>
    <definedName name="LIAB1" localSheetId="18">#REF!</definedName>
    <definedName name="LIAB1" localSheetId="23">#REF!</definedName>
    <definedName name="LIAB1" localSheetId="14">#REF!</definedName>
    <definedName name="LIAB1" localSheetId="19">#REF!</definedName>
    <definedName name="LIAB1" localSheetId="16">#REF!</definedName>
    <definedName name="LIAB1">#REF!</definedName>
    <definedName name="LIAB2" localSheetId="12">#REF!</definedName>
    <definedName name="LIAB2" localSheetId="13">#REF!</definedName>
    <definedName name="LIAB2" localSheetId="7">#REF!</definedName>
    <definedName name="LIAB2" localSheetId="18">#REF!</definedName>
    <definedName name="LIAB2" localSheetId="23">#REF!</definedName>
    <definedName name="LIAB2" localSheetId="14">#REF!</definedName>
    <definedName name="LIAB2" localSheetId="19">#REF!</definedName>
    <definedName name="LIAB2" localSheetId="16">#REF!</definedName>
    <definedName name="LIAB2">#REF!</definedName>
    <definedName name="LIAB3" localSheetId="12">#REF!</definedName>
    <definedName name="LIAB3" localSheetId="13">#REF!</definedName>
    <definedName name="LIAB3" localSheetId="7">#REF!</definedName>
    <definedName name="LIAB3" localSheetId="18">#REF!</definedName>
    <definedName name="LIAB3" localSheetId="23">#REF!</definedName>
    <definedName name="LIAB3" localSheetId="14">#REF!</definedName>
    <definedName name="LIAB3" localSheetId="19">#REF!</definedName>
    <definedName name="LIAB3" localSheetId="16">#REF!</definedName>
    <definedName name="LIAB3">#REF!</definedName>
    <definedName name="LIAB4" localSheetId="12">#REF!</definedName>
    <definedName name="LIAB4" localSheetId="13">#REF!</definedName>
    <definedName name="LIAB4" localSheetId="7">#REF!</definedName>
    <definedName name="LIAB4" localSheetId="18">#REF!</definedName>
    <definedName name="LIAB4" localSheetId="23">#REF!</definedName>
    <definedName name="LIAB4" localSheetId="14">#REF!</definedName>
    <definedName name="LIAB4" localSheetId="19">#REF!</definedName>
    <definedName name="LIAB4" localSheetId="16">#REF!</definedName>
    <definedName name="LIAB4">#REF!</definedName>
    <definedName name="LIBAST" localSheetId="12">#REF!</definedName>
    <definedName name="LIBAST" localSheetId="13">#REF!</definedName>
    <definedName name="LIBAST" localSheetId="7">#REF!</definedName>
    <definedName name="LIBAST" localSheetId="18">#REF!</definedName>
    <definedName name="LIBAST" localSheetId="23">#REF!</definedName>
    <definedName name="LIBAST" localSheetId="14">#REF!</definedName>
    <definedName name="LIBAST" localSheetId="19">#REF!</definedName>
    <definedName name="LIBAST" localSheetId="16">#REF!</definedName>
    <definedName name="LIBAST">#REF!</definedName>
    <definedName name="lkup">[31]Ranges!$B$3:$C$12</definedName>
    <definedName name="LOANS" localSheetId="12">[17]acct!#REF!</definedName>
    <definedName name="LOANS" localSheetId="7">[17]acct!#REF!</definedName>
    <definedName name="LOANS" localSheetId="18">[17]acct!#REF!</definedName>
    <definedName name="LOANS" localSheetId="19">[17]acct!#REF!</definedName>
    <definedName name="LOANS">[17]acct!#REF!</definedName>
    <definedName name="longterm" localSheetId="12">#REF!</definedName>
    <definedName name="longterm" localSheetId="7">#REF!</definedName>
    <definedName name="longterm" localSheetId="18">#REF!</definedName>
    <definedName name="longterm" localSheetId="23">#REF!</definedName>
    <definedName name="longterm" localSheetId="14">#REF!</definedName>
    <definedName name="longterm" localSheetId="19">#REF!</definedName>
    <definedName name="longterm" localSheetId="16">#REF!</definedName>
    <definedName name="longterm">#REF!</definedName>
    <definedName name="LPAGE1" localSheetId="12">#REF!</definedName>
    <definedName name="LPAGE1" localSheetId="13">#REF!</definedName>
    <definedName name="LPAGE1" localSheetId="7">#REF!</definedName>
    <definedName name="LPAGE1" localSheetId="18">#REF!</definedName>
    <definedName name="LPAGE1" localSheetId="23">#REF!</definedName>
    <definedName name="LPAGE1" localSheetId="14">#REF!</definedName>
    <definedName name="LPAGE1" localSheetId="19">#REF!</definedName>
    <definedName name="LPAGE1" localSheetId="16">#REF!</definedName>
    <definedName name="LPAGE1">#REF!</definedName>
    <definedName name="LPAGE2" localSheetId="12">#REF!</definedName>
    <definedName name="LPAGE2" localSheetId="13">#REF!</definedName>
    <definedName name="LPAGE2" localSheetId="7">#REF!</definedName>
    <definedName name="LPAGE2" localSheetId="18">#REF!</definedName>
    <definedName name="LPAGE2" localSheetId="23">#REF!</definedName>
    <definedName name="LPAGE2" localSheetId="14">#REF!</definedName>
    <definedName name="LPAGE2" localSheetId="19">#REF!</definedName>
    <definedName name="LPAGE2" localSheetId="16">#REF!</definedName>
    <definedName name="LPAGE2">#REF!</definedName>
    <definedName name="LPAGE3" localSheetId="12">#REF!</definedName>
    <definedName name="LPAGE3" localSheetId="13">#REF!</definedName>
    <definedName name="LPAGE3" localSheetId="7">#REF!</definedName>
    <definedName name="LPAGE3" localSheetId="18">#REF!</definedName>
    <definedName name="LPAGE3" localSheetId="23">#REF!</definedName>
    <definedName name="LPAGE3" localSheetId="14">#REF!</definedName>
    <definedName name="LPAGE3" localSheetId="19">#REF!</definedName>
    <definedName name="LPAGE3" localSheetId="16">#REF!</definedName>
    <definedName name="LPAGE3">#REF!</definedName>
    <definedName name="LPAGE4" localSheetId="12">#REF!</definedName>
    <definedName name="LPAGE4" localSheetId="13">#REF!</definedName>
    <definedName name="LPAGE4" localSheetId="7">#REF!</definedName>
    <definedName name="LPAGE4" localSheetId="18">#REF!</definedName>
    <definedName name="LPAGE4" localSheetId="23">#REF!</definedName>
    <definedName name="LPAGE4" localSheetId="14">#REF!</definedName>
    <definedName name="LPAGE4" localSheetId="19">#REF!</definedName>
    <definedName name="LPAGE4" localSheetId="16">#REF!</definedName>
    <definedName name="LPAGE4">#REF!</definedName>
    <definedName name="M" localSheetId="12">#REF!</definedName>
    <definedName name="M" localSheetId="13">#REF!</definedName>
    <definedName name="m" localSheetId="7">#REF!</definedName>
    <definedName name="m" localSheetId="18">#REF!</definedName>
    <definedName name="m" localSheetId="19">#REF!</definedName>
    <definedName name="m">#REF!</definedName>
    <definedName name="main" localSheetId="12">#REF!</definedName>
    <definedName name="main" localSheetId="13">#REF!</definedName>
    <definedName name="main" localSheetId="7">#REF!</definedName>
    <definedName name="main" localSheetId="18">#REF!</definedName>
    <definedName name="main" localSheetId="19">#REF!</definedName>
    <definedName name="main">#REF!</definedName>
    <definedName name="MANAMABS" localSheetId="12">#REF!</definedName>
    <definedName name="MANAMABS" localSheetId="7">#REF!</definedName>
    <definedName name="MANAMABS" localSheetId="18">#REF!</definedName>
    <definedName name="MANAMABS" localSheetId="23">#REF!</definedName>
    <definedName name="MANAMABS" localSheetId="14">#REF!</definedName>
    <definedName name="MANAMABS" localSheetId="19">#REF!</definedName>
    <definedName name="MANAMABS" localSheetId="16">#REF!</definedName>
    <definedName name="MANAMABS">#REF!</definedName>
    <definedName name="manamabs0207">[32]Sheet3!$A$157:$C$321</definedName>
    <definedName name="Manamapl" localSheetId="12">#REF!</definedName>
    <definedName name="Manamapl" localSheetId="7">#REF!</definedName>
    <definedName name="Manamapl" localSheetId="18">#REF!</definedName>
    <definedName name="Manamapl" localSheetId="23">#REF!</definedName>
    <definedName name="Manamapl" localSheetId="14">#REF!</definedName>
    <definedName name="Manamapl" localSheetId="19">#REF!</definedName>
    <definedName name="Manamapl" localSheetId="16">#REF!</definedName>
    <definedName name="Manamapl">#REF!</definedName>
    <definedName name="manamapl0207">[32]Sheet3!$A$5:$C$153</definedName>
    <definedName name="Manamapl5" localSheetId="12">#REF!</definedName>
    <definedName name="Manamapl5" localSheetId="7">#REF!</definedName>
    <definedName name="Manamapl5" localSheetId="18">#REF!</definedName>
    <definedName name="Manamapl5" localSheetId="23">#REF!</definedName>
    <definedName name="Manamapl5" localSheetId="14">#REF!</definedName>
    <definedName name="Manamapl5" localSheetId="19">#REF!</definedName>
    <definedName name="Manamapl5" localSheetId="16">#REF!</definedName>
    <definedName name="Manamapl5">#REF!</definedName>
    <definedName name="masroor" localSheetId="12">#REF!</definedName>
    <definedName name="masroor" localSheetId="13">#REF!</definedName>
    <definedName name="masroor" localSheetId="7">#REF!</definedName>
    <definedName name="masroor" localSheetId="18">#REF!</definedName>
    <definedName name="masroor" localSheetId="23">#REF!</definedName>
    <definedName name="masroor" localSheetId="14">#REF!</definedName>
    <definedName name="masroor" localSheetId="19">#REF!</definedName>
    <definedName name="masroor" localSheetId="16">#REF!</definedName>
    <definedName name="masroor">#REF!</definedName>
    <definedName name="MAZ" localSheetId="12">'[33]T-BILL'!#REF!</definedName>
    <definedName name="MAZ" localSheetId="7">'[33]T-BILL'!#REF!</definedName>
    <definedName name="MAZ" localSheetId="18">'[33]T-BILL'!#REF!</definedName>
    <definedName name="MAZ" localSheetId="19">'[33]T-BILL'!#REF!</definedName>
    <definedName name="MAZ">'[33]T-BILL'!#REF!</definedName>
    <definedName name="MLNTREGISTER" localSheetId="12">#REF!</definedName>
    <definedName name="MLNTREGISTER" localSheetId="7">#REF!</definedName>
    <definedName name="MLNTREGISTER" localSheetId="18">#REF!</definedName>
    <definedName name="MLNTREGISTER" localSheetId="19">#REF!</definedName>
    <definedName name="MLNTREGISTER">#REF!</definedName>
    <definedName name="MR">'[34]Market Rates'!$B$1:$G$65536</definedName>
    <definedName name="N" localSheetId="12">#REF!</definedName>
    <definedName name="N" localSheetId="7">#REF!</definedName>
    <definedName name="N" localSheetId="18">#REF!</definedName>
    <definedName name="N" localSheetId="19">#REF!</definedName>
    <definedName name="N">#REF!</definedName>
    <definedName name="NEW">'[35]Implied Rate'!$B$49:$BC$408</definedName>
    <definedName name="note" hidden="1">{"'CALL MONEY'!$K$53"}</definedName>
    <definedName name="Note55" localSheetId="12">'[36]BS-OVS'!#REF!</definedName>
    <definedName name="Note55" localSheetId="7">'[36]BS-OVS'!#REF!</definedName>
    <definedName name="Note55" localSheetId="18">'[36]BS-OVS'!#REF!</definedName>
    <definedName name="Note55" localSheetId="19">'[36]BS-OVS'!#REF!</definedName>
    <definedName name="Note55">'[36]BS-OVS'!#REF!</definedName>
    <definedName name="Note58" localSheetId="12">'[24]BS-OVS'!#REF!</definedName>
    <definedName name="Note58" localSheetId="13">'[24]BS-OVS'!#REF!</definedName>
    <definedName name="Note58" localSheetId="7">'[24]BS-OVS'!#REF!</definedName>
    <definedName name="Note58" localSheetId="18">'[24]BS-OVS'!#REF!</definedName>
    <definedName name="Note58" localSheetId="19">'[24]BS-OVS'!#REF!</definedName>
    <definedName name="Note58">'[24]BS-OVS'!#REF!</definedName>
    <definedName name="npl" localSheetId="12">#REF!</definedName>
    <definedName name="npl" localSheetId="13">#REF!</definedName>
    <definedName name="npl" localSheetId="7">#REF!</definedName>
    <definedName name="npl" localSheetId="18">#REF!</definedName>
    <definedName name="npl" localSheetId="19">#REF!</definedName>
    <definedName name="npl">#REF!</definedName>
    <definedName name="nplsum" localSheetId="12">#REF!</definedName>
    <definedName name="nplsum" localSheetId="13">#REF!</definedName>
    <definedName name="nplsum" localSheetId="7">#REF!</definedName>
    <definedName name="nplsum" localSheetId="18">#REF!</definedName>
    <definedName name="nplsum" localSheetId="19">#REF!</definedName>
    <definedName name="nplsum">#REF!</definedName>
    <definedName name="O" localSheetId="12">#REF!</definedName>
    <definedName name="O" localSheetId="7">#REF!</definedName>
    <definedName name="O" localSheetId="18">#REF!</definedName>
    <definedName name="O" localSheetId="19">#REF!</definedName>
    <definedName name="O">#REF!</definedName>
    <definedName name="os" localSheetId="12">#REF!</definedName>
    <definedName name="os" localSheetId="7">#REF!</definedName>
    <definedName name="os" localSheetId="18">#REF!</definedName>
    <definedName name="os" localSheetId="19">#REF!</definedName>
    <definedName name="os">#REF!</definedName>
    <definedName name="OSAL" localSheetId="12">#REF!</definedName>
    <definedName name="OSAL" localSheetId="13">#REF!</definedName>
    <definedName name="OSAL" localSheetId="7">#REF!</definedName>
    <definedName name="OSAL" localSheetId="18">#REF!</definedName>
    <definedName name="OSAL" localSheetId="23">#REF!</definedName>
    <definedName name="OSAL" localSheetId="14">#REF!</definedName>
    <definedName name="OSAL" localSheetId="19">#REF!</definedName>
    <definedName name="OSAL" localSheetId="16">#REF!</definedName>
    <definedName name="OSAL">#REF!</definedName>
    <definedName name="osbs" localSheetId="12">#REF!</definedName>
    <definedName name="osbs" localSheetId="7">#REF!</definedName>
    <definedName name="osbs" localSheetId="18">#REF!</definedName>
    <definedName name="osbs" localSheetId="19">#REF!</definedName>
    <definedName name="osbs">#REF!</definedName>
    <definedName name="OVER" localSheetId="12">#REF!</definedName>
    <definedName name="OVER" localSheetId="13">#REF!</definedName>
    <definedName name="OVER" localSheetId="7">#REF!</definedName>
    <definedName name="OVER" localSheetId="18">#REF!</definedName>
    <definedName name="OVER" localSheetId="19">#REF!</definedName>
    <definedName name="OVER">#REF!</definedName>
    <definedName name="P" localSheetId="12">#REF!</definedName>
    <definedName name="P" localSheetId="7">#REF!</definedName>
    <definedName name="P" localSheetId="18">#REF!</definedName>
    <definedName name="P" localSheetId="19">#REF!</definedName>
    <definedName name="P">#REF!</definedName>
    <definedName name="PAGE2" localSheetId="12">#REF!</definedName>
    <definedName name="PAGE2" localSheetId="13">#REF!</definedName>
    <definedName name="PAGE2" localSheetId="7">#REF!</definedName>
    <definedName name="PAGE2" localSheetId="18">#REF!</definedName>
    <definedName name="PAGE2" localSheetId="23">#REF!</definedName>
    <definedName name="PAGE2" localSheetId="14">#REF!</definedName>
    <definedName name="PAGE2" localSheetId="19">#REF!</definedName>
    <definedName name="PAGE2" localSheetId="16">#REF!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2">#REF!</definedName>
    <definedName name="pld" localSheetId="7">#REF!</definedName>
    <definedName name="pld" localSheetId="18">#REF!</definedName>
    <definedName name="pld" localSheetId="23">#REF!</definedName>
    <definedName name="pld" localSheetId="14">#REF!</definedName>
    <definedName name="pld" localSheetId="19">#REF!</definedName>
    <definedName name="pld" localSheetId="16">#REF!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2">#REF!</definedName>
    <definedName name="pln" localSheetId="7">#REF!</definedName>
    <definedName name="pln" localSheetId="18">#REF!</definedName>
    <definedName name="pln" localSheetId="23">#REF!</definedName>
    <definedName name="pln" localSheetId="14">#REF!</definedName>
    <definedName name="pln" localSheetId="19">#REF!</definedName>
    <definedName name="pln" localSheetId="16">#REF!</definedName>
    <definedName name="pln">#REF!</definedName>
    <definedName name="plnov" localSheetId="12">#REF!</definedName>
    <definedName name="plnov" localSheetId="7">#REF!</definedName>
    <definedName name="plnov" localSheetId="18">#REF!</definedName>
    <definedName name="plnov" localSheetId="23">#REF!</definedName>
    <definedName name="plnov" localSheetId="14">#REF!</definedName>
    <definedName name="plnov" localSheetId="19">#REF!</definedName>
    <definedName name="plnov" localSheetId="16">#REF!</definedName>
    <definedName name="plnov">#REF!</definedName>
    <definedName name="plnov06">'[21]November 06'!$A$5:$D$87</definedName>
    <definedName name="plw" localSheetId="12">#REF!</definedName>
    <definedName name="plw">#REF!</definedName>
    <definedName name="po" localSheetId="12">[39]BSDOMOVS!#REF!</definedName>
    <definedName name="po" localSheetId="13">[39]BSDOMOVS!#REF!</definedName>
    <definedName name="po" localSheetId="7">[39]BSDOMOVS!#REF!</definedName>
    <definedName name="po" localSheetId="18">[39]BSDOMOVS!#REF!</definedName>
    <definedName name="po" localSheetId="19">[39]BSDOMOVS!#REF!</definedName>
    <definedName name="po">[39]BSDOMOVS!#REF!</definedName>
    <definedName name="PP" localSheetId="12">#REF!</definedName>
    <definedName name="PP" localSheetId="13">#REF!</definedName>
    <definedName name="PP" localSheetId="7">#REF!</definedName>
    <definedName name="PP" localSheetId="18">#REF!</definedName>
    <definedName name="PP" localSheetId="23">#REF!</definedName>
    <definedName name="PP" localSheetId="14">#REF!</definedName>
    <definedName name="PP" localSheetId="19">#REF!</definedName>
    <definedName name="PP" localSheetId="16">#REF!</definedName>
    <definedName name="PP">#REF!</definedName>
    <definedName name="_xlnm.Print_Area" localSheetId="8">'1'!$A$1:$H$67</definedName>
    <definedName name="_xlnm.Print_Area" localSheetId="11">'2'!$A$1:$H$54</definedName>
    <definedName name="_xlnm.Print_Area" localSheetId="12">'3'!$A$1:$J$64</definedName>
    <definedName name="_xlnm.Print_Area" localSheetId="13">'4'!$A$1:$J$96</definedName>
    <definedName name="_xlnm.Print_Area" localSheetId="20">adjustments!$A$1:$E$30</definedName>
    <definedName name="_xlnm.Print_Area" localSheetId="1">BS!$A$1:$H$53</definedName>
    <definedName name="_xlnm.Print_Area" localSheetId="22">'Cash Flow'!$A$1:$J$68</definedName>
    <definedName name="_xlnm.Print_Area" localSheetId="6">'Cash Flow '!$A$1:$H$60</definedName>
    <definedName name="_xlnm.Print_Area" localSheetId="7">'CF Q working'!$A$1:$J$71</definedName>
    <definedName name="_xlnm.Print_Area" localSheetId="3">COI!$A$1:$H$50</definedName>
    <definedName name="_xlnm.Print_Area" localSheetId="4">'Distribution '!$A$1:$H$52</definedName>
    <definedName name="_xlnm.Print_Area" localSheetId="18">'Distribution Q working'!$A$1:$J$30</definedName>
    <definedName name="_xlnm.Print_Area" localSheetId="23">'investment note'!$A$1:$O$154</definedName>
    <definedName name="_xlnm.Print_Area" localSheetId="2">IS!$A$1:$H$64</definedName>
    <definedName name="_xlnm.Print_Area" localSheetId="14">'Notes 3.10-4.3'!$A$1:$O$154</definedName>
    <definedName name="_xlnm.Print_Area" localSheetId="15">'Notes 5-11'!$A$1:$H$92</definedName>
    <definedName name="_xlnm.Print_Area" localSheetId="9">Sheet2!$A$1:$Q$64</definedName>
    <definedName name="_xlnm.Print_Area" localSheetId="10">Sheet4!$A$1:$R$136</definedName>
    <definedName name="_xlnm.Print_Area" localSheetId="5">UHF!$A$1:$H$48</definedName>
    <definedName name="_xlnm.Print_Area" localSheetId="19">'UHF Q working'!$A$1:$J$39</definedName>
    <definedName name="_xlnm.Print_Area">[10]Sheet4!$A$421:$Q$523</definedName>
    <definedName name="PRINT_AREA_MI">[3]Sheet4!$A$421:$Q$523</definedName>
    <definedName name="_xlnm.Print_Titles" localSheetId="16">'working for investmenst note'!$8:$10</definedName>
    <definedName name="PROFIT1" localSheetId="12">#REF!</definedName>
    <definedName name="PROFIT1" localSheetId="13">#REF!</definedName>
    <definedName name="PROFIT1" localSheetId="7">#REF!</definedName>
    <definedName name="PROFIT1" localSheetId="18">#REF!</definedName>
    <definedName name="PROFIT1" localSheetId="23">#REF!</definedName>
    <definedName name="PROFIT1" localSheetId="14">#REF!</definedName>
    <definedName name="PROFIT1" localSheetId="19">#REF!</definedName>
    <definedName name="PROFIT1" localSheetId="16">#REF!</definedName>
    <definedName name="PROFIT1">#REF!</definedName>
    <definedName name="PROFIT2" localSheetId="12">#REF!</definedName>
    <definedName name="PROFIT2" localSheetId="13">#REF!</definedName>
    <definedName name="PROFIT2" localSheetId="7">#REF!</definedName>
    <definedName name="PROFIT2" localSheetId="18">#REF!</definedName>
    <definedName name="PROFIT2" localSheetId="23">#REF!</definedName>
    <definedName name="PROFIT2" localSheetId="14">#REF!</definedName>
    <definedName name="PROFIT2" localSheetId="19">#REF!</definedName>
    <definedName name="PROFIT2" localSheetId="16">#REF!</definedName>
    <definedName name="PROFIT2">#REF!</definedName>
    <definedName name="Q" localSheetId="12">#REF!</definedName>
    <definedName name="Q" localSheetId="7">#REF!</definedName>
    <definedName name="Q" localSheetId="18">#REF!</definedName>
    <definedName name="Q" localSheetId="19">#REF!</definedName>
    <definedName name="Q">#REF!</definedName>
    <definedName name="QATAR1">[3]Sheet4!$H$428:$H$519</definedName>
    <definedName name="QATAR2">[3]Sheet4!$U$326:$U$417</definedName>
    <definedName name="rate">'[19]rate '!$B$4:$C$31</definedName>
    <definedName name="Recover">[40]Macro1!$A$170</definedName>
    <definedName name="REDCAP" localSheetId="12">[17]acct!#REF!</definedName>
    <definedName name="REDCAP" localSheetId="7">[17]acct!#REF!</definedName>
    <definedName name="REDCAP" localSheetId="18">[17]acct!#REF!</definedName>
    <definedName name="REDCAP" localSheetId="19">[17]acct!#REF!</definedName>
    <definedName name="REDCAP">[17]acct!#REF!</definedName>
    <definedName name="RF" localSheetId="12">[17]acct!#REF!</definedName>
    <definedName name="RF" localSheetId="7">[17]acct!#REF!</definedName>
    <definedName name="RF" localSheetId="18">[17]acct!#REF!</definedName>
    <definedName name="RF" localSheetId="19">[17]acct!#REF!</definedName>
    <definedName name="RF">[17]acct!#REF!</definedName>
    <definedName name="RRRR" localSheetId="12">#REF!</definedName>
    <definedName name="RRRR">#REF!</definedName>
    <definedName name="S_AcctDes" localSheetId="12">#REF!</definedName>
    <definedName name="S_AcctDes" localSheetId="7">#REF!</definedName>
    <definedName name="S_AcctDes" localSheetId="18">#REF!</definedName>
    <definedName name="S_AcctDes" localSheetId="19">#REF!</definedName>
    <definedName name="S_AcctDes">#REF!</definedName>
    <definedName name="S_Adjust" localSheetId="12">#REF!</definedName>
    <definedName name="S_Adjust" localSheetId="7">#REF!</definedName>
    <definedName name="S_Adjust" localSheetId="18">#REF!</definedName>
    <definedName name="S_Adjust" localSheetId="19">#REF!</definedName>
    <definedName name="S_Adjust">#REF!</definedName>
    <definedName name="S_Adjust_Data" localSheetId="12">#REF!</definedName>
    <definedName name="S_Adjust_Data" localSheetId="7">#REF!</definedName>
    <definedName name="S_Adjust_Data" localSheetId="18">#REF!</definedName>
    <definedName name="S_Adjust_Data" localSheetId="19">#REF!</definedName>
    <definedName name="S_Adjust_Data">#REF!</definedName>
    <definedName name="S_Adjust_GT" localSheetId="12">#REF!</definedName>
    <definedName name="S_Adjust_GT" localSheetId="7">#REF!</definedName>
    <definedName name="S_Adjust_GT" localSheetId="18">#REF!</definedName>
    <definedName name="S_Adjust_GT" localSheetId="19">#REF!</definedName>
    <definedName name="S_Adjust_GT">#REF!</definedName>
    <definedName name="S_AJE_Tot" localSheetId="12">#REF!</definedName>
    <definedName name="S_AJE_Tot" localSheetId="7">#REF!</definedName>
    <definedName name="S_AJE_Tot" localSheetId="18">#REF!</definedName>
    <definedName name="S_AJE_Tot" localSheetId="19">#REF!</definedName>
    <definedName name="S_AJE_Tot">#REF!</definedName>
    <definedName name="S_AJE_Tot_Data" localSheetId="12">#REF!</definedName>
    <definedName name="S_AJE_Tot_Data" localSheetId="7">#REF!</definedName>
    <definedName name="S_AJE_Tot_Data" localSheetId="18">#REF!</definedName>
    <definedName name="S_AJE_Tot_Data" localSheetId="19">#REF!</definedName>
    <definedName name="S_AJE_Tot_Data">#REF!</definedName>
    <definedName name="S_AJE_Tot_GT" localSheetId="12">#REF!</definedName>
    <definedName name="S_AJE_Tot_GT" localSheetId="7">#REF!</definedName>
    <definedName name="S_AJE_Tot_GT" localSheetId="18">#REF!</definedName>
    <definedName name="S_AJE_Tot_GT" localSheetId="19">#REF!</definedName>
    <definedName name="S_AJE_Tot_GT">#REF!</definedName>
    <definedName name="S_CompNum" localSheetId="12">#REF!</definedName>
    <definedName name="S_CompNum" localSheetId="7">#REF!</definedName>
    <definedName name="S_CompNum" localSheetId="18">#REF!</definedName>
    <definedName name="S_CompNum" localSheetId="19">#REF!</definedName>
    <definedName name="S_CompNum">#REF!</definedName>
    <definedName name="S_CY_Beg" localSheetId="12">#REF!</definedName>
    <definedName name="S_CY_Beg" localSheetId="7">#REF!</definedName>
    <definedName name="S_CY_Beg" localSheetId="18">#REF!</definedName>
    <definedName name="S_CY_Beg" localSheetId="19">#REF!</definedName>
    <definedName name="S_CY_Beg">#REF!</definedName>
    <definedName name="S_CY_Beg_Data" localSheetId="12">#REF!</definedName>
    <definedName name="S_CY_Beg_Data" localSheetId="7">#REF!</definedName>
    <definedName name="S_CY_Beg_Data" localSheetId="18">#REF!</definedName>
    <definedName name="S_CY_Beg_Data" localSheetId="19">#REF!</definedName>
    <definedName name="S_CY_Beg_Data">#REF!</definedName>
    <definedName name="S_CY_Beg_GT" localSheetId="12">#REF!</definedName>
    <definedName name="S_CY_Beg_GT" localSheetId="7">#REF!</definedName>
    <definedName name="S_CY_Beg_GT" localSheetId="18">#REF!</definedName>
    <definedName name="S_CY_Beg_GT" localSheetId="19">#REF!</definedName>
    <definedName name="S_CY_Beg_GT">#REF!</definedName>
    <definedName name="S_CY_End" localSheetId="12">#REF!</definedName>
    <definedName name="S_CY_End" localSheetId="7">#REF!</definedName>
    <definedName name="S_CY_End" localSheetId="18">#REF!</definedName>
    <definedName name="S_CY_End" localSheetId="19">#REF!</definedName>
    <definedName name="S_CY_End">#REF!</definedName>
    <definedName name="S_CY_End_Data" localSheetId="12">#REF!</definedName>
    <definedName name="S_CY_End_Data" localSheetId="7">#REF!</definedName>
    <definedName name="S_CY_End_Data" localSheetId="18">#REF!</definedName>
    <definedName name="S_CY_End_Data" localSheetId="19">#REF!</definedName>
    <definedName name="S_CY_End_Data">#REF!</definedName>
    <definedName name="S_CY_End_GT" localSheetId="12">#REF!</definedName>
    <definedName name="S_CY_End_GT" localSheetId="7">#REF!</definedName>
    <definedName name="S_CY_End_GT" localSheetId="18">#REF!</definedName>
    <definedName name="S_CY_End_GT" localSheetId="19">#REF!</definedName>
    <definedName name="S_CY_End_GT">#REF!</definedName>
    <definedName name="S_Diff_Amt" localSheetId="12">#REF!</definedName>
    <definedName name="S_Diff_Amt" localSheetId="7">#REF!</definedName>
    <definedName name="S_Diff_Amt" localSheetId="18">#REF!</definedName>
    <definedName name="S_Diff_Amt" localSheetId="19">#REF!</definedName>
    <definedName name="S_Diff_Amt">#REF!</definedName>
    <definedName name="S_Diff_Pct" localSheetId="12">#REF!</definedName>
    <definedName name="S_Diff_Pct" localSheetId="7">#REF!</definedName>
    <definedName name="S_Diff_Pct" localSheetId="18">#REF!</definedName>
    <definedName name="S_Diff_Pct" localSheetId="19">#REF!</definedName>
    <definedName name="S_Diff_Pct">#REF!</definedName>
    <definedName name="S_GrpNum" localSheetId="12">#REF!</definedName>
    <definedName name="S_GrpNum" localSheetId="7">#REF!</definedName>
    <definedName name="S_GrpNum" localSheetId="18">#REF!</definedName>
    <definedName name="S_GrpNum" localSheetId="19">#REF!</definedName>
    <definedName name="S_GrpNum">#REF!</definedName>
    <definedName name="S_Headings" localSheetId="12">#REF!</definedName>
    <definedName name="S_Headings" localSheetId="7">#REF!</definedName>
    <definedName name="S_Headings" localSheetId="18">#REF!</definedName>
    <definedName name="S_Headings" localSheetId="19">#REF!</definedName>
    <definedName name="S_Headings">#REF!</definedName>
    <definedName name="S_KeyValue" localSheetId="12">#REF!</definedName>
    <definedName name="S_KeyValue" localSheetId="7">#REF!</definedName>
    <definedName name="S_KeyValue" localSheetId="18">#REF!</definedName>
    <definedName name="S_KeyValue" localSheetId="19">#REF!</definedName>
    <definedName name="S_KeyValue">#REF!</definedName>
    <definedName name="S_PY_End" localSheetId="12">#REF!</definedName>
    <definedName name="S_PY_End" localSheetId="7">#REF!</definedName>
    <definedName name="S_PY_End" localSheetId="18">#REF!</definedName>
    <definedName name="S_PY_End" localSheetId="19">#REF!</definedName>
    <definedName name="S_PY_End">#REF!</definedName>
    <definedName name="S_PY_End_Data" localSheetId="12">#REF!</definedName>
    <definedName name="S_PY_End_Data" localSheetId="7">#REF!</definedName>
    <definedName name="S_PY_End_Data" localSheetId="18">#REF!</definedName>
    <definedName name="S_PY_End_Data" localSheetId="19">#REF!</definedName>
    <definedName name="S_PY_End_Data">#REF!</definedName>
    <definedName name="S_PY_End_GT" localSheetId="12">#REF!</definedName>
    <definedName name="S_PY_End_GT" localSheetId="7">#REF!</definedName>
    <definedName name="S_PY_End_GT" localSheetId="18">#REF!</definedName>
    <definedName name="S_PY_End_GT" localSheetId="19">#REF!</definedName>
    <definedName name="S_PY_End_GT">#REF!</definedName>
    <definedName name="S_RJE_Tot" localSheetId="12">#REF!</definedName>
    <definedName name="S_RJE_Tot" localSheetId="7">#REF!</definedName>
    <definedName name="S_RJE_Tot" localSheetId="18">#REF!</definedName>
    <definedName name="S_RJE_Tot" localSheetId="19">#REF!</definedName>
    <definedName name="S_RJE_Tot">#REF!</definedName>
    <definedName name="S_RJE_Tot_Data" localSheetId="12">#REF!</definedName>
    <definedName name="S_RJE_Tot_Data" localSheetId="7">#REF!</definedName>
    <definedName name="S_RJE_Tot_Data" localSheetId="18">#REF!</definedName>
    <definedName name="S_RJE_Tot_Data" localSheetId="19">#REF!</definedName>
    <definedName name="S_RJE_Tot_Data">#REF!</definedName>
    <definedName name="S_RJE_Tot_GT" localSheetId="12">#REF!</definedName>
    <definedName name="S_RJE_Tot_GT" localSheetId="7">#REF!</definedName>
    <definedName name="S_RJE_Tot_GT" localSheetId="18">#REF!</definedName>
    <definedName name="S_RJE_Tot_GT" localSheetId="19">#REF!</definedName>
    <definedName name="S_RJE_Tot_GT">#REF!</definedName>
    <definedName name="S_RowNum" localSheetId="12">#REF!</definedName>
    <definedName name="S_RowNum" localSheetId="7">#REF!</definedName>
    <definedName name="S_RowNum" localSheetId="18">#REF!</definedName>
    <definedName name="S_RowNum" localSheetId="19">#REF!</definedName>
    <definedName name="S_RowNum">#REF!</definedName>
    <definedName name="sa">[41]Sheet4!$A$421:$Q$523</definedName>
    <definedName name="sad" localSheetId="14" hidden="1">{"'CALL MONEY'!$K$53"}</definedName>
    <definedName name="sad" localSheetId="16" hidden="1">{"'CALL MONEY'!$K$53"}</definedName>
    <definedName name="sad" hidden="1">{"'CALL MONEY'!$K$53"}</definedName>
    <definedName name="SALES" localSheetId="12">[17]acct!#REF!</definedName>
    <definedName name="SALES" localSheetId="7">[17]acct!#REF!</definedName>
    <definedName name="SALES" localSheetId="18">[17]acct!#REF!</definedName>
    <definedName name="SALES" localSheetId="19">[17]acct!#REF!</definedName>
    <definedName name="SALES">[17]acct!#REF!</definedName>
    <definedName name="sam" localSheetId="12">#REF!</definedName>
    <definedName name="sam" localSheetId="13">#REF!</definedName>
    <definedName name="sam" localSheetId="7">#REF!</definedName>
    <definedName name="sam" localSheetId="18">#REF!</definedName>
    <definedName name="sam" localSheetId="19">#REF!</definedName>
    <definedName name="sam">#REF!</definedName>
    <definedName name="SBP" localSheetId="12">'[42]Notes1-5'!#REF!</definedName>
    <definedName name="SBP" localSheetId="7">'[42]Notes1-5'!#REF!</definedName>
    <definedName name="SBP" localSheetId="18">'[42]Notes1-5'!#REF!</definedName>
    <definedName name="SBP" localSheetId="19">'[42]Notes1-5'!#REF!</definedName>
    <definedName name="SBP">'[42]Notes1-5'!#REF!</definedName>
    <definedName name="sdsa">[43]A!$AX$5:$AX$129</definedName>
    <definedName name="sectionNames" localSheetId="12">#REF!</definedName>
    <definedName name="sectionNames">#REF!</definedName>
    <definedName name="shehzad" localSheetId="12">[44]Sheet2!#REF!</definedName>
    <definedName name="shehzad" localSheetId="7">[44]Sheet2!#REF!</definedName>
    <definedName name="shehzad" localSheetId="18">[44]Sheet2!#REF!</definedName>
    <definedName name="shehzad" localSheetId="19">[44]Sheet2!#REF!</definedName>
    <definedName name="shehzad">[44]Sheet2!#REF!</definedName>
    <definedName name="shortterm" localSheetId="12">#REF!</definedName>
    <definedName name="shortterm" localSheetId="7">#REF!</definedName>
    <definedName name="shortterm" localSheetId="18">#REF!</definedName>
    <definedName name="shortterm" localSheetId="23">#REF!</definedName>
    <definedName name="shortterm" localSheetId="14">#REF!</definedName>
    <definedName name="shortterm" localSheetId="19">#REF!</definedName>
    <definedName name="shortterm" localSheetId="16">#REF!</definedName>
    <definedName name="shortterm">#REF!</definedName>
    <definedName name="sma">[10]Sheet4!$A$421:$Q$523</definedName>
    <definedName name="SNS" localSheetId="12">[17]acct!#REF!</definedName>
    <definedName name="SNS" localSheetId="7">[17]acct!#REF!</definedName>
    <definedName name="SNS" localSheetId="18">[17]acct!#REF!</definedName>
    <definedName name="SNS" localSheetId="19">[17]acct!#REF!</definedName>
    <definedName name="SNS">[17]acct!#REF!</definedName>
    <definedName name="SR" localSheetId="12">#REF!</definedName>
    <definedName name="SR" localSheetId="7">#REF!</definedName>
    <definedName name="SR" localSheetId="18">#REF!</definedName>
    <definedName name="SR" localSheetId="23">#REF!</definedName>
    <definedName name="SR" localSheetId="14">#REF!</definedName>
    <definedName name="SR" localSheetId="19">#REF!</definedName>
    <definedName name="SR" localSheetId="16">#REF!</definedName>
    <definedName name="SR">#REF!</definedName>
    <definedName name="STT" localSheetId="12" hidden="1">#REF!</definedName>
    <definedName name="STT" localSheetId="7" hidden="1">#REF!</definedName>
    <definedName name="STT" localSheetId="18" hidden="1">#REF!</definedName>
    <definedName name="STT" localSheetId="19" hidden="1">#REF!</definedName>
    <definedName name="STT" hidden="1">#REF!</definedName>
    <definedName name="sum" localSheetId="12">#REF!</definedName>
    <definedName name="sum" localSheetId="13">#REF!</definedName>
    <definedName name="sum" localSheetId="7">#REF!</definedName>
    <definedName name="sum" localSheetId="18">#REF!</definedName>
    <definedName name="sum" localSheetId="19">#REF!</definedName>
    <definedName name="sum">#REF!</definedName>
    <definedName name="T_BILLREPO" localSheetId="12">'[45]T-BILL'!#REF!</definedName>
    <definedName name="T_BILLREPO" localSheetId="13">'[45]T-BILL'!#REF!</definedName>
    <definedName name="T_BILLREPO" localSheetId="7">'[45]T-BILL'!#REF!</definedName>
    <definedName name="T_BILLREPO" localSheetId="18">'[45]T-BILL'!#REF!</definedName>
    <definedName name="T_BILLREPO" localSheetId="19">'[45]T-BILL'!#REF!</definedName>
    <definedName name="T_BILLREPO">'[45]T-BILL'!#REF!</definedName>
    <definedName name="TableName">"Dummy"</definedName>
    <definedName name="talha" localSheetId="8" hidden="1">{"'CALL MONEY'!$K$53"}</definedName>
    <definedName name="talha" localSheetId="22" hidden="1">{"'CALL MONEY'!$K$53"}</definedName>
    <definedName name="talha" localSheetId="6" hidden="1">{"'CALL MONEY'!$K$53"}</definedName>
    <definedName name="talha" localSheetId="7" hidden="1">{"'CALL MONEY'!$K$53"}</definedName>
    <definedName name="talha" localSheetId="3" hidden="1">{"'CALL MONEY'!$K$53"}</definedName>
    <definedName name="talha" localSheetId="4" hidden="1">{"'CALL MONEY'!$K$53"}</definedName>
    <definedName name="talha" localSheetId="18" hidden="1">{"'CALL MONEY'!$K$53"}</definedName>
    <definedName name="talha" localSheetId="23" hidden="1">{"'CALL MONEY'!$K$53"}</definedName>
    <definedName name="talha" localSheetId="2" hidden="1">{"'CALL MONEY'!$K$53"}</definedName>
    <definedName name="talha" localSheetId="14" hidden="1">{"'CALL MONEY'!$K$53"}</definedName>
    <definedName name="talha" localSheetId="15" hidden="1">{"'CALL MONEY'!$K$53"}</definedName>
    <definedName name="talha" localSheetId="5" hidden="1">{"'CALL MONEY'!$K$53"}</definedName>
    <definedName name="talha" localSheetId="19" hidden="1">{"'CALL MONEY'!$K$53"}</definedName>
    <definedName name="talha" localSheetId="16" hidden="1">{"'CALL MONEY'!$K$53"}</definedName>
    <definedName name="talha" hidden="1">{"'CALL MONEY'!$K$53"}</definedName>
    <definedName name="tAX" localSheetId="12">[17]acct!#REF!</definedName>
    <definedName name="tAX" localSheetId="7">[17]acct!#REF!</definedName>
    <definedName name="tAX" localSheetId="18">[17]acct!#REF!</definedName>
    <definedName name="tAX" localSheetId="19">[17]acct!#REF!</definedName>
    <definedName name="tAX">[17]acct!#REF!</definedName>
    <definedName name="TextRefCopy1" localSheetId="12">#REF!</definedName>
    <definedName name="TextRefCopy1">#REF!</definedName>
    <definedName name="TextRefCopyRangeCount" hidden="1">2</definedName>
    <definedName name="TOTAL" localSheetId="12">#REF!</definedName>
    <definedName name="TOTAL" localSheetId="13">#REF!</definedName>
    <definedName name="TOTAL" localSheetId="7">#REF!</definedName>
    <definedName name="TOTAL" localSheetId="18">#REF!</definedName>
    <definedName name="TOTAL" localSheetId="19">#REF!</definedName>
    <definedName name="TOTAL">#REF!</definedName>
    <definedName name="TRF" localSheetId="12">'[1]last qrt2001'!#REF!</definedName>
    <definedName name="TRF" localSheetId="7">'[1]last qrt2001'!#REF!</definedName>
    <definedName name="TRF" localSheetId="18">'[1]last qrt2001'!#REF!</definedName>
    <definedName name="TRF" localSheetId="19">'[1]last qrt2001'!#REF!</definedName>
    <definedName name="TRF">'[1]last qrt2001'!#REF!</definedName>
    <definedName name="ttt" localSheetId="12" hidden="1">#REF!</definedName>
    <definedName name="ttt" localSheetId="7" hidden="1">#REF!</definedName>
    <definedName name="ttt" localSheetId="18" hidden="1">#REF!</definedName>
    <definedName name="ttt" localSheetId="19" hidden="1">#REF!</definedName>
    <definedName name="ttt" hidden="1">#REF!</definedName>
    <definedName name="uae">[19]UAE!$A$8:$G$29</definedName>
    <definedName name="ubl" localSheetId="12">#REF!</definedName>
    <definedName name="ubl" localSheetId="7">#REF!</definedName>
    <definedName name="ubl" localSheetId="18">#REF!</definedName>
    <definedName name="ubl" localSheetId="19">#REF!</definedName>
    <definedName name="ubl">#REF!</definedName>
    <definedName name="ublbs" localSheetId="12">#REF!</definedName>
    <definedName name="ublbs" localSheetId="7">#REF!</definedName>
    <definedName name="ublbs" localSheetId="18">#REF!</definedName>
    <definedName name="ublbs" localSheetId="19">#REF!</definedName>
    <definedName name="ublbs">#REF!</definedName>
    <definedName name="Units" localSheetId="12">#REF!</definedName>
    <definedName name="Units">#REF!</definedName>
    <definedName name="W" localSheetId="12">#REF!</definedName>
    <definedName name="W" localSheetId="7">#REF!</definedName>
    <definedName name="W" localSheetId="18">#REF!</definedName>
    <definedName name="W" localSheetId="19">#REF!</definedName>
    <definedName name="W">#REF!</definedName>
    <definedName name="X" localSheetId="12">#REF!</definedName>
    <definedName name="X" localSheetId="7">#REF!</definedName>
    <definedName name="X" localSheetId="18">#REF!</definedName>
    <definedName name="X" localSheetId="19">#REF!</definedName>
    <definedName name="X">#REF!</definedName>
    <definedName name="XX" localSheetId="12">'[1]last qrt2001'!#REF!</definedName>
    <definedName name="XX" localSheetId="7">'[1]last qrt2001'!#REF!</definedName>
    <definedName name="XX" localSheetId="18">'[1]last qrt2001'!#REF!</definedName>
    <definedName name="XX" localSheetId="19">'[1]last qrt2001'!#REF!</definedName>
    <definedName name="XX">'[1]last qrt2001'!#REF!</definedName>
    <definedName name="YCAB" localSheetId="12">#REF!</definedName>
    <definedName name="YCAB" localSheetId="13">#REF!</definedName>
    <definedName name="YCAB" localSheetId="7">#REF!</definedName>
    <definedName name="YCAB" localSheetId="18">#REF!</definedName>
    <definedName name="YCAB" localSheetId="19">#REF!</definedName>
    <definedName name="YCAB">#REF!</definedName>
    <definedName name="ycab1" localSheetId="12">#REF!</definedName>
    <definedName name="ycab1" localSheetId="7">#REF!</definedName>
    <definedName name="ycab1" localSheetId="18">#REF!</definedName>
    <definedName name="ycab1" localSheetId="19">#REF!</definedName>
    <definedName name="ycab1">#REF!</definedName>
    <definedName name="YEMEN1">[3]Sheet4!$L$222:$L$313</definedName>
    <definedName name="YEMEN2">[3]Sheet4!$Y$222:$Y$313</definedName>
  </definedNames>
  <calcPr calcId="144525"/>
</workbook>
</file>

<file path=xl/calcChain.xml><?xml version="1.0" encoding="utf-8"?>
<calcChain xmlns="http://schemas.openxmlformats.org/spreadsheetml/2006/main">
  <c r="E16" i="52" l="1"/>
  <c r="G16" i="52" s="1"/>
  <c r="E15" i="52"/>
  <c r="G25" i="48"/>
  <c r="G24" i="48"/>
  <c r="G26" i="48" l="1"/>
  <c r="E25" i="48" l="1"/>
  <c r="I25" i="48" s="1"/>
  <c r="C35" i="52" l="1"/>
  <c r="G35" i="52" s="1"/>
  <c r="C34" i="52"/>
  <c r="G34" i="52" s="1"/>
  <c r="C31" i="52"/>
  <c r="G31" i="52" s="1"/>
  <c r="C30" i="52"/>
  <c r="G30" i="52" s="1"/>
  <c r="C27" i="52"/>
  <c r="G27" i="52" s="1"/>
  <c r="C26" i="52"/>
  <c r="G26" i="52" s="1"/>
  <c r="C25" i="52"/>
  <c r="G25" i="52" s="1"/>
  <c r="C24" i="52"/>
  <c r="G24" i="52" s="1"/>
  <c r="G135" i="48" l="1"/>
  <c r="G138" i="48" s="1"/>
  <c r="G101" i="48"/>
  <c r="A62" i="48"/>
  <c r="G53" i="48"/>
  <c r="G39" i="48"/>
  <c r="G30" i="48"/>
  <c r="E18" i="48"/>
  <c r="G26" i="47"/>
  <c r="E20" i="47"/>
  <c r="I20" i="47" s="1"/>
  <c r="E17" i="47"/>
  <c r="G17" i="47" l="1"/>
  <c r="G19" i="47" s="1"/>
  <c r="G46" i="48"/>
  <c r="G55" i="48" s="1"/>
  <c r="G59" i="48" s="1"/>
  <c r="I14" i="47"/>
  <c r="G104" i="47"/>
  <c r="G107" i="47" s="1"/>
  <c r="G70" i="47"/>
  <c r="G33" i="47"/>
  <c r="G35" i="47" s="1"/>
  <c r="E19" i="47"/>
  <c r="E21" i="47" s="1"/>
  <c r="I17" i="47" l="1"/>
  <c r="I57" i="48"/>
  <c r="G21" i="47"/>
  <c r="G37" i="47" s="1"/>
  <c r="I12" i="47" s="1"/>
  <c r="I19" i="47" l="1"/>
  <c r="I21" i="47" s="1"/>
  <c r="G105" i="46" l="1"/>
  <c r="G108" i="46" s="1"/>
  <c r="G71" i="46"/>
  <c r="A1" i="46"/>
  <c r="I27" i="46" l="1"/>
  <c r="E19" i="46"/>
  <c r="E27" i="46"/>
  <c r="A1" i="8"/>
  <c r="A78" i="8" s="1"/>
  <c r="N31" i="8"/>
  <c r="G43" i="8"/>
  <c r="H43" i="8" s="1"/>
  <c r="I43" i="8"/>
  <c r="J43" i="8"/>
  <c r="N43" i="8" s="1"/>
  <c r="G44" i="8"/>
  <c r="H44" i="8" s="1"/>
  <c r="I44" i="8"/>
  <c r="J44" i="8"/>
  <c r="N44" i="8" s="1"/>
  <c r="G45" i="8"/>
  <c r="H45" i="8" s="1"/>
  <c r="I45" i="8"/>
  <c r="J45" i="8"/>
  <c r="G46" i="8"/>
  <c r="H46" i="8" s="1"/>
  <c r="I46" i="8"/>
  <c r="J46" i="8"/>
  <c r="G47" i="8"/>
  <c r="H47" i="8" s="1"/>
  <c r="I47" i="8"/>
  <c r="J47" i="8"/>
  <c r="N47" i="8" s="1"/>
  <c r="G48" i="8"/>
  <c r="H48" i="8" s="1"/>
  <c r="I48" i="8"/>
  <c r="J48" i="8"/>
  <c r="N48" i="8" s="1"/>
  <c r="G49" i="8"/>
  <c r="H49" i="8" s="1"/>
  <c r="I49" i="8"/>
  <c r="J49" i="8"/>
  <c r="G50" i="8"/>
  <c r="H50" i="8" s="1"/>
  <c r="I50" i="8"/>
  <c r="J50" i="8"/>
  <c r="G51" i="8"/>
  <c r="H51" i="8" s="1"/>
  <c r="I51" i="8"/>
  <c r="J51" i="8"/>
  <c r="N51" i="8" s="1"/>
  <c r="G52" i="8"/>
  <c r="H52" i="8" s="1"/>
  <c r="I52" i="8"/>
  <c r="J52" i="8"/>
  <c r="G53" i="8"/>
  <c r="H53" i="8" s="1"/>
  <c r="I53" i="8"/>
  <c r="J53" i="8"/>
  <c r="G54" i="8"/>
  <c r="H54" i="8" s="1"/>
  <c r="I54" i="8"/>
  <c r="J54" i="8"/>
  <c r="G55" i="8"/>
  <c r="H55" i="8" s="1"/>
  <c r="I55" i="8"/>
  <c r="J55" i="8"/>
  <c r="N55" i="8" s="1"/>
  <c r="G56" i="8"/>
  <c r="H56" i="8" s="1"/>
  <c r="I56" i="8"/>
  <c r="J56" i="8"/>
  <c r="N56" i="8" s="1"/>
  <c r="D57" i="8"/>
  <c r="E57" i="8"/>
  <c r="F57" i="8"/>
  <c r="H60" i="8"/>
  <c r="I60" i="8"/>
  <c r="J60" i="8"/>
  <c r="N60" i="8" s="1"/>
  <c r="H61" i="8"/>
  <c r="I61" i="8"/>
  <c r="J61" i="8"/>
  <c r="N61" i="8" s="1"/>
  <c r="H62" i="8"/>
  <c r="I62" i="8"/>
  <c r="J62" i="8"/>
  <c r="D63" i="8"/>
  <c r="E63" i="8"/>
  <c r="F63" i="8"/>
  <c r="G63" i="8"/>
  <c r="H66" i="8"/>
  <c r="I66" i="8"/>
  <c r="J66" i="8"/>
  <c r="H67" i="8"/>
  <c r="I67" i="8"/>
  <c r="J67" i="8"/>
  <c r="D68" i="8"/>
  <c r="E68" i="8"/>
  <c r="F68" i="8"/>
  <c r="G68" i="8"/>
  <c r="H71" i="8"/>
  <c r="I71" i="8"/>
  <c r="J71" i="8"/>
  <c r="H72" i="8"/>
  <c r="I72" i="8"/>
  <c r="J72" i="8"/>
  <c r="O72" i="8"/>
  <c r="H73" i="8"/>
  <c r="I73" i="8"/>
  <c r="J73" i="8"/>
  <c r="H74" i="8"/>
  <c r="I74" i="8"/>
  <c r="J74" i="8"/>
  <c r="H75" i="8"/>
  <c r="K75" i="8"/>
  <c r="N75" i="8"/>
  <c r="D76" i="8"/>
  <c r="E76" i="8"/>
  <c r="F76" i="8"/>
  <c r="G76" i="8"/>
  <c r="H84" i="8"/>
  <c r="I84" i="8"/>
  <c r="J84" i="8"/>
  <c r="N84" i="8" s="1"/>
  <c r="H85" i="8"/>
  <c r="I85" i="8"/>
  <c r="J85" i="8"/>
  <c r="H86" i="8"/>
  <c r="I86" i="8"/>
  <c r="J86" i="8"/>
  <c r="H87" i="8"/>
  <c r="I87" i="8"/>
  <c r="J87" i="8"/>
  <c r="N87" i="8" s="1"/>
  <c r="D88" i="8"/>
  <c r="E88" i="8"/>
  <c r="F88" i="8"/>
  <c r="G88" i="8"/>
  <c r="H91" i="8"/>
  <c r="I91" i="8"/>
  <c r="J91" i="8"/>
  <c r="H92" i="8"/>
  <c r="I92" i="8"/>
  <c r="J92" i="8"/>
  <c r="N92" i="8" s="1"/>
  <c r="D93" i="8"/>
  <c r="E93" i="8"/>
  <c r="F93" i="8"/>
  <c r="G93" i="8"/>
  <c r="H96" i="8"/>
  <c r="I96" i="8"/>
  <c r="J96" i="8"/>
  <c r="H97" i="8"/>
  <c r="I97" i="8"/>
  <c r="J97" i="8"/>
  <c r="H98" i="8"/>
  <c r="I98" i="8"/>
  <c r="J98" i="8"/>
  <c r="H99" i="8"/>
  <c r="I99" i="8"/>
  <c r="J99" i="8"/>
  <c r="D100" i="8"/>
  <c r="E100" i="8"/>
  <c r="F100" i="8"/>
  <c r="G100" i="8"/>
  <c r="H103" i="8"/>
  <c r="I103" i="8"/>
  <c r="J103" i="8"/>
  <c r="H104" i="8"/>
  <c r="I104" i="8"/>
  <c r="J104" i="8"/>
  <c r="N104" i="8" s="1"/>
  <c r="H105" i="8"/>
  <c r="I105" i="8"/>
  <c r="J105" i="8"/>
  <c r="N105" i="8" s="1"/>
  <c r="D106" i="8"/>
  <c r="E106" i="8"/>
  <c r="F106" i="8"/>
  <c r="G106" i="8"/>
  <c r="H109" i="8"/>
  <c r="I109" i="8"/>
  <c r="J109" i="8"/>
  <c r="N109" i="8" s="1"/>
  <c r="H110" i="8"/>
  <c r="I110" i="8"/>
  <c r="J110" i="8"/>
  <c r="N110" i="8" s="1"/>
  <c r="H111" i="8"/>
  <c r="I111" i="8"/>
  <c r="J111" i="8"/>
  <c r="N111" i="8" s="1"/>
  <c r="D112" i="8"/>
  <c r="E112" i="8"/>
  <c r="F112" i="8"/>
  <c r="G112" i="8"/>
  <c r="H115" i="8"/>
  <c r="I115" i="8"/>
  <c r="J115" i="8"/>
  <c r="H116" i="8"/>
  <c r="H118" i="8" s="1"/>
  <c r="I116" i="8"/>
  <c r="J116" i="8"/>
  <c r="N116" i="8" s="1"/>
  <c r="H117" i="8"/>
  <c r="I117" i="8"/>
  <c r="J117" i="8"/>
  <c r="D118" i="8"/>
  <c r="E118" i="8"/>
  <c r="F118" i="8"/>
  <c r="G118" i="8"/>
  <c r="H122" i="8"/>
  <c r="I122" i="8"/>
  <c r="J122" i="8"/>
  <c r="N122" i="8" s="1"/>
  <c r="O122" i="8"/>
  <c r="H123" i="8"/>
  <c r="I123" i="8"/>
  <c r="J123" i="8"/>
  <c r="N123" i="8" s="1"/>
  <c r="D124" i="8"/>
  <c r="E124" i="8"/>
  <c r="F124" i="8"/>
  <c r="G124" i="8"/>
  <c r="H127" i="8"/>
  <c r="I127" i="8"/>
  <c r="J127" i="8"/>
  <c r="H131" i="8"/>
  <c r="H132" i="8" s="1"/>
  <c r="I131" i="8"/>
  <c r="I132" i="8" s="1"/>
  <c r="J131" i="8"/>
  <c r="D132" i="8"/>
  <c r="E132" i="8"/>
  <c r="F132" i="8"/>
  <c r="G132" i="8"/>
  <c r="H135" i="8"/>
  <c r="H136" i="8" s="1"/>
  <c r="I135" i="8"/>
  <c r="I136" i="8" s="1"/>
  <c r="J135" i="8"/>
  <c r="N135" i="8" s="1"/>
  <c r="N136" i="8" s="1"/>
  <c r="D136" i="8"/>
  <c r="E136" i="8"/>
  <c r="F136" i="8"/>
  <c r="G136" i="8"/>
  <c r="A1" i="13"/>
  <c r="A12" i="13"/>
  <c r="L12" i="13"/>
  <c r="L13" i="13"/>
  <c r="H14" i="13"/>
  <c r="L14" i="13"/>
  <c r="J16" i="13"/>
  <c r="L16" i="13"/>
  <c r="L19" i="13"/>
  <c r="L22" i="13" s="1"/>
  <c r="O19" i="13"/>
  <c r="L20" i="13"/>
  <c r="H25" i="13"/>
  <c r="L25" i="13"/>
  <c r="L26" i="13"/>
  <c r="L27" i="13"/>
  <c r="L28" i="13"/>
  <c r="L29" i="13"/>
  <c r="H32" i="13"/>
  <c r="J32" i="13"/>
  <c r="L32" i="13"/>
  <c r="O32" i="13"/>
  <c r="H34" i="13"/>
  <c r="J34" i="13"/>
  <c r="L34" i="13"/>
  <c r="O36" i="13"/>
  <c r="L41" i="13"/>
  <c r="L44" i="13" s="1"/>
  <c r="J48" i="13"/>
  <c r="L51" i="13"/>
  <c r="K55" i="13"/>
  <c r="A56" i="13"/>
  <c r="A61" i="13"/>
  <c r="A62" i="13"/>
  <c r="A68" i="13"/>
  <c r="H98" i="13"/>
  <c r="H132" i="13"/>
  <c r="H135" i="13" s="1"/>
  <c r="F14" i="24"/>
  <c r="H69" i="21" s="1"/>
  <c r="D16" i="24"/>
  <c r="D18" i="24" s="1"/>
  <c r="E16" i="24"/>
  <c r="E18" i="24" s="1"/>
  <c r="A1" i="7"/>
  <c r="D10" i="7"/>
  <c r="C12" i="7"/>
  <c r="D13" i="7"/>
  <c r="D16" i="7"/>
  <c r="E11" i="9"/>
  <c r="C11" i="9" s="1"/>
  <c r="O43" i="8" s="1"/>
  <c r="E12" i="9"/>
  <c r="C12" i="9" s="1"/>
  <c r="O44" i="8" s="1"/>
  <c r="E13" i="9"/>
  <c r="C13" i="9" s="1"/>
  <c r="O45" i="8" s="1"/>
  <c r="G13" i="9"/>
  <c r="E14" i="9"/>
  <c r="C14" i="9" s="1"/>
  <c r="O46" i="8" s="1"/>
  <c r="G14" i="9"/>
  <c r="E15" i="9"/>
  <c r="C15" i="9" s="1"/>
  <c r="O47" i="8" s="1"/>
  <c r="G15" i="9"/>
  <c r="E16" i="9"/>
  <c r="C16" i="9" s="1"/>
  <c r="O48" i="8" s="1"/>
  <c r="G16" i="9"/>
  <c r="E17" i="9"/>
  <c r="C17" i="9" s="1"/>
  <c r="O49" i="8" s="1"/>
  <c r="G17" i="9"/>
  <c r="E18" i="9"/>
  <c r="C18" i="9" s="1"/>
  <c r="O50" i="8" s="1"/>
  <c r="G18" i="9"/>
  <c r="E19" i="9"/>
  <c r="C19" i="9" s="1"/>
  <c r="O51" i="8" s="1"/>
  <c r="G19" i="9"/>
  <c r="E20" i="9"/>
  <c r="C20" i="9" s="1"/>
  <c r="O52" i="8" s="1"/>
  <c r="G20" i="9"/>
  <c r="E21" i="9"/>
  <c r="C21" i="9" s="1"/>
  <c r="O53" i="8" s="1"/>
  <c r="G21" i="9"/>
  <c r="E22" i="9"/>
  <c r="C22" i="9" s="1"/>
  <c r="O54" i="8" s="1"/>
  <c r="E23" i="9"/>
  <c r="C23" i="9" s="1"/>
  <c r="O55" i="8" s="1"/>
  <c r="G23" i="9"/>
  <c r="H23" i="9" s="1"/>
  <c r="O36" i="23" s="1"/>
  <c r="E24" i="9"/>
  <c r="C24" i="9" s="1"/>
  <c r="O56" i="8" s="1"/>
  <c r="B25" i="9"/>
  <c r="E27" i="9"/>
  <c r="C27" i="9" s="1"/>
  <c r="O60" i="8" s="1"/>
  <c r="E28" i="9"/>
  <c r="C28" i="9" s="1"/>
  <c r="O61" i="8" s="1"/>
  <c r="E29" i="9"/>
  <c r="C29" i="9" s="1"/>
  <c r="O62" i="8" s="1"/>
  <c r="B30" i="9"/>
  <c r="E30" i="9"/>
  <c r="E32" i="9"/>
  <c r="C32" i="9" s="1"/>
  <c r="O66" i="8" s="1"/>
  <c r="E33" i="9"/>
  <c r="C33" i="9" s="1"/>
  <c r="O67" i="8" s="1"/>
  <c r="B34" i="9"/>
  <c r="E36" i="9"/>
  <c r="C36" i="9" s="1"/>
  <c r="O71" i="8" s="1"/>
  <c r="E37" i="9"/>
  <c r="E38" i="9"/>
  <c r="C38" i="9" s="1"/>
  <c r="O73" i="8" s="1"/>
  <c r="E39" i="9"/>
  <c r="C39" i="9" s="1"/>
  <c r="O74" i="8" s="1"/>
  <c r="E40" i="9"/>
  <c r="C40" i="9" s="1"/>
  <c r="O75" i="8" s="1"/>
  <c r="B41" i="9"/>
  <c r="E43" i="9"/>
  <c r="C43" i="9" s="1"/>
  <c r="O84" i="8" s="1"/>
  <c r="E44" i="9"/>
  <c r="C44" i="9" s="1"/>
  <c r="O85" i="8" s="1"/>
  <c r="E45" i="9"/>
  <c r="C45" i="9" s="1"/>
  <c r="O86" i="8" s="1"/>
  <c r="E46" i="9"/>
  <c r="C46" i="9" s="1"/>
  <c r="O87" i="8" s="1"/>
  <c r="B47" i="9"/>
  <c r="E49" i="9"/>
  <c r="C49" i="9" s="1"/>
  <c r="O91" i="8" s="1"/>
  <c r="G49" i="9"/>
  <c r="E50" i="9"/>
  <c r="C50" i="9" s="1"/>
  <c r="O92" i="8" s="1"/>
  <c r="G50" i="9"/>
  <c r="B51" i="9"/>
  <c r="E53" i="9"/>
  <c r="C53" i="9" s="1"/>
  <c r="O96" i="8" s="1"/>
  <c r="E54" i="9"/>
  <c r="C54" i="9" s="1"/>
  <c r="O97" i="8" s="1"/>
  <c r="E55" i="9"/>
  <c r="C55" i="9" s="1"/>
  <c r="O98" i="8" s="1"/>
  <c r="E56" i="9"/>
  <c r="C56" i="9" s="1"/>
  <c r="O99" i="8" s="1"/>
  <c r="B57" i="9"/>
  <c r="E59" i="9"/>
  <c r="C59" i="9" s="1"/>
  <c r="O103" i="8" s="1"/>
  <c r="E60" i="9"/>
  <c r="C60" i="9" s="1"/>
  <c r="O104" i="8" s="1"/>
  <c r="E61" i="9"/>
  <c r="C61" i="9" s="1"/>
  <c r="O105" i="8" s="1"/>
  <c r="B62" i="9"/>
  <c r="E64" i="9"/>
  <c r="C64" i="9" s="1"/>
  <c r="O109" i="8" s="1"/>
  <c r="E65" i="9"/>
  <c r="C65" i="9" s="1"/>
  <c r="O110" i="8" s="1"/>
  <c r="E66" i="9"/>
  <c r="C66" i="9" s="1"/>
  <c r="O111" i="8" s="1"/>
  <c r="B67" i="9"/>
  <c r="E69" i="9"/>
  <c r="C69" i="9" s="1"/>
  <c r="O115" i="8" s="1"/>
  <c r="E70" i="9"/>
  <c r="C70" i="9" s="1"/>
  <c r="O116" i="8" s="1"/>
  <c r="E71" i="9"/>
  <c r="C71" i="9" s="1"/>
  <c r="O117" i="8" s="1"/>
  <c r="B72" i="9"/>
  <c r="E74" i="9"/>
  <c r="G74" i="9"/>
  <c r="E75" i="9"/>
  <c r="C75" i="9" s="1"/>
  <c r="O123" i="8" s="1"/>
  <c r="G75" i="9"/>
  <c r="B76" i="9"/>
  <c r="E78" i="9"/>
  <c r="C78" i="9" s="1"/>
  <c r="O127" i="8" s="1"/>
  <c r="E81" i="9"/>
  <c r="C81" i="9" s="1"/>
  <c r="O131" i="8" s="1"/>
  <c r="O132" i="8" s="1"/>
  <c r="B82" i="9"/>
  <c r="E84" i="9"/>
  <c r="C84" i="9" s="1"/>
  <c r="O135" i="8" s="1"/>
  <c r="O136" i="8" s="1"/>
  <c r="B85" i="9"/>
  <c r="H38" i="21"/>
  <c r="H41" i="21"/>
  <c r="H42" i="21"/>
  <c r="H46" i="21"/>
  <c r="F47" i="21"/>
  <c r="H47" i="21" s="1"/>
  <c r="H61" i="21"/>
  <c r="H62" i="21"/>
  <c r="H65" i="21"/>
  <c r="H66" i="21"/>
  <c r="A2" i="23"/>
  <c r="H26" i="23"/>
  <c r="F11" i="9" s="1"/>
  <c r="G11" i="9" s="1"/>
  <c r="I26" i="23"/>
  <c r="J26" i="23"/>
  <c r="H27" i="23"/>
  <c r="F12" i="9" s="1"/>
  <c r="G12" i="9" s="1"/>
  <c r="H12" i="9" s="1"/>
  <c r="O27" i="23" s="1"/>
  <c r="I27" i="23"/>
  <c r="J27" i="23"/>
  <c r="H28" i="23"/>
  <c r="I28" i="23"/>
  <c r="J28" i="23"/>
  <c r="N28" i="23" s="1"/>
  <c r="H29" i="23"/>
  <c r="I29" i="23"/>
  <c r="J29" i="23"/>
  <c r="H30" i="23"/>
  <c r="I30" i="23"/>
  <c r="J30" i="23"/>
  <c r="H31" i="23"/>
  <c r="I31" i="23"/>
  <c r="J31" i="23"/>
  <c r="H32" i="23"/>
  <c r="I32" i="23"/>
  <c r="J32" i="23"/>
  <c r="N32" i="23" s="1"/>
  <c r="H33" i="23"/>
  <c r="I33" i="23"/>
  <c r="J33" i="23"/>
  <c r="H34" i="23"/>
  <c r="I34" i="23"/>
  <c r="J34" i="23"/>
  <c r="H35" i="23"/>
  <c r="I35" i="23"/>
  <c r="J35" i="23"/>
  <c r="H36" i="23"/>
  <c r="I36" i="23"/>
  <c r="J36" i="23"/>
  <c r="N36" i="23" s="1"/>
  <c r="H37" i="23"/>
  <c r="F22" i="9" s="1"/>
  <c r="G22" i="9" s="1"/>
  <c r="I37" i="23"/>
  <c r="J37" i="23"/>
  <c r="H38" i="23"/>
  <c r="I38" i="23"/>
  <c r="J38" i="23"/>
  <c r="N38" i="23" s="1"/>
  <c r="H39" i="23"/>
  <c r="F24" i="9" s="1"/>
  <c r="G24" i="9" s="1"/>
  <c r="I39" i="23"/>
  <c r="J39" i="23"/>
  <c r="D40" i="23"/>
  <c r="E40" i="23"/>
  <c r="F40" i="23"/>
  <c r="G40" i="23"/>
  <c r="H43" i="23"/>
  <c r="F27" i="9" s="1"/>
  <c r="G27" i="9" s="1"/>
  <c r="I43" i="23"/>
  <c r="J43" i="23"/>
  <c r="N43" i="23" s="1"/>
  <c r="H44" i="23"/>
  <c r="F28" i="9" s="1"/>
  <c r="G28" i="9" s="1"/>
  <c r="I44" i="23"/>
  <c r="J44" i="23"/>
  <c r="H45" i="23"/>
  <c r="F29" i="9" s="1"/>
  <c r="G29" i="9" s="1"/>
  <c r="I45" i="23"/>
  <c r="J45" i="23"/>
  <c r="N45" i="23" s="1"/>
  <c r="D46" i="23"/>
  <c r="E46" i="23"/>
  <c r="F46" i="23"/>
  <c r="G46" i="23"/>
  <c r="H49" i="23"/>
  <c r="F32" i="9" s="1"/>
  <c r="G32" i="9" s="1"/>
  <c r="I49" i="23"/>
  <c r="J49" i="23"/>
  <c r="H50" i="23"/>
  <c r="F33" i="9" s="1"/>
  <c r="G33" i="9" s="1"/>
  <c r="I50" i="23"/>
  <c r="J50" i="23"/>
  <c r="N50" i="23" s="1"/>
  <c r="D51" i="23"/>
  <c r="E51" i="23"/>
  <c r="F51" i="23"/>
  <c r="G51" i="23"/>
  <c r="H54" i="23"/>
  <c r="F36" i="9" s="1"/>
  <c r="G36" i="9" s="1"/>
  <c r="H36" i="9" s="1"/>
  <c r="O54" i="23" s="1"/>
  <c r="I54" i="23"/>
  <c r="J54" i="23"/>
  <c r="H55" i="23"/>
  <c r="I55" i="23"/>
  <c r="J55" i="23"/>
  <c r="H56" i="23"/>
  <c r="F38" i="9" s="1"/>
  <c r="G38" i="9" s="1"/>
  <c r="I56" i="23"/>
  <c r="J56" i="23"/>
  <c r="N56" i="23" s="1"/>
  <c r="H57" i="23"/>
  <c r="F39" i="9" s="1"/>
  <c r="G39" i="9" s="1"/>
  <c r="H39" i="9" s="1"/>
  <c r="O57" i="23" s="1"/>
  <c r="I57" i="23"/>
  <c r="J57" i="23"/>
  <c r="N57" i="23" s="1"/>
  <c r="H58" i="23"/>
  <c r="F40" i="9" s="1"/>
  <c r="G40" i="9" s="1"/>
  <c r="H40" i="9" s="1"/>
  <c r="O58" i="23" s="1"/>
  <c r="J58" i="23"/>
  <c r="K58" i="23" s="1"/>
  <c r="D59" i="23"/>
  <c r="E59" i="23"/>
  <c r="F59" i="23"/>
  <c r="G59" i="23"/>
  <c r="H62" i="23"/>
  <c r="I62" i="23"/>
  <c r="J62" i="23"/>
  <c r="H63" i="23"/>
  <c r="I63" i="23"/>
  <c r="J63" i="23"/>
  <c r="N63" i="23" s="1"/>
  <c r="H64" i="23"/>
  <c r="F45" i="9" s="1"/>
  <c r="G45" i="9" s="1"/>
  <c r="I64" i="23"/>
  <c r="J64" i="23"/>
  <c r="H65" i="23"/>
  <c r="F46" i="9" s="1"/>
  <c r="G46" i="9" s="1"/>
  <c r="H46" i="9" s="1"/>
  <c r="O65" i="23" s="1"/>
  <c r="I65" i="23"/>
  <c r="J65" i="23"/>
  <c r="D66" i="23"/>
  <c r="E66" i="23"/>
  <c r="F66" i="23"/>
  <c r="G66" i="23"/>
  <c r="H69" i="23"/>
  <c r="I69" i="23"/>
  <c r="J69" i="23"/>
  <c r="N69" i="23" s="1"/>
  <c r="H70" i="23"/>
  <c r="I70" i="23"/>
  <c r="J70" i="23"/>
  <c r="D71" i="23"/>
  <c r="E71" i="23"/>
  <c r="F71" i="23"/>
  <c r="G71" i="23"/>
  <c r="A73" i="23"/>
  <c r="H79" i="23"/>
  <c r="F53" i="9" s="1"/>
  <c r="G53" i="9" s="1"/>
  <c r="H53" i="9" s="1"/>
  <c r="O79" i="23" s="1"/>
  <c r="I79" i="23"/>
  <c r="J79" i="23"/>
  <c r="H80" i="23"/>
  <c r="F54" i="9" s="1"/>
  <c r="G54" i="9" s="1"/>
  <c r="I80" i="23"/>
  <c r="J80" i="23"/>
  <c r="H81" i="23"/>
  <c r="F55" i="9" s="1"/>
  <c r="G55" i="9" s="1"/>
  <c r="I81" i="23"/>
  <c r="J81" i="23"/>
  <c r="N81" i="23" s="1"/>
  <c r="H82" i="23"/>
  <c r="F56" i="9" s="1"/>
  <c r="G56" i="9" s="1"/>
  <c r="I82" i="23"/>
  <c r="J82" i="23"/>
  <c r="D83" i="23"/>
  <c r="E83" i="23"/>
  <c r="F83" i="23"/>
  <c r="G83" i="23"/>
  <c r="H86" i="23"/>
  <c r="F59" i="9" s="1"/>
  <c r="G59" i="9" s="1"/>
  <c r="I86" i="23"/>
  <c r="J86" i="23"/>
  <c r="N86" i="23" s="1"/>
  <c r="H87" i="23"/>
  <c r="F60" i="9" s="1"/>
  <c r="G60" i="9" s="1"/>
  <c r="H60" i="9" s="1"/>
  <c r="O87" i="23" s="1"/>
  <c r="I87" i="23"/>
  <c r="J87" i="23"/>
  <c r="H88" i="23"/>
  <c r="F61" i="9" s="1"/>
  <c r="G61" i="9" s="1"/>
  <c r="I88" i="23"/>
  <c r="J88" i="23"/>
  <c r="N88" i="23" s="1"/>
  <c r="D89" i="23"/>
  <c r="E89" i="23"/>
  <c r="F89" i="23"/>
  <c r="G89" i="23"/>
  <c r="H92" i="23"/>
  <c r="I92" i="23"/>
  <c r="J92" i="23"/>
  <c r="N92" i="23" s="1"/>
  <c r="H93" i="23"/>
  <c r="F65" i="9" s="1"/>
  <c r="G65" i="9" s="1"/>
  <c r="I93" i="23"/>
  <c r="J93" i="23"/>
  <c r="J95" i="23" s="1"/>
  <c r="H94" i="23"/>
  <c r="F66" i="9" s="1"/>
  <c r="G66" i="9" s="1"/>
  <c r="H66" i="9" s="1"/>
  <c r="O94" i="23" s="1"/>
  <c r="I94" i="23"/>
  <c r="J94" i="23"/>
  <c r="D95" i="23"/>
  <c r="E95" i="23"/>
  <c r="F95" i="23"/>
  <c r="G95" i="23"/>
  <c r="H97" i="23"/>
  <c r="I97" i="23"/>
  <c r="J97" i="23"/>
  <c r="N97" i="23" s="1"/>
  <c r="H98" i="23"/>
  <c r="F70" i="9" s="1"/>
  <c r="G70" i="9" s="1"/>
  <c r="I98" i="23"/>
  <c r="J98" i="23"/>
  <c r="H99" i="23"/>
  <c r="F71" i="9" s="1"/>
  <c r="G71" i="9" s="1"/>
  <c r="H71" i="9" s="1"/>
  <c r="O99" i="23" s="1"/>
  <c r="I99" i="23"/>
  <c r="J99" i="23"/>
  <c r="N99" i="23" s="1"/>
  <c r="D100" i="23"/>
  <c r="E100" i="23"/>
  <c r="F100" i="23"/>
  <c r="G100" i="23"/>
  <c r="H102" i="23"/>
  <c r="I102" i="23"/>
  <c r="J102" i="23"/>
  <c r="N102" i="23" s="1"/>
  <c r="H103" i="23"/>
  <c r="I103" i="23"/>
  <c r="J103" i="23"/>
  <c r="D104" i="23"/>
  <c r="E104" i="23"/>
  <c r="F104" i="23"/>
  <c r="G104" i="23"/>
  <c r="H106" i="23"/>
  <c r="F78" i="9" s="1"/>
  <c r="G78" i="9" s="1"/>
  <c r="I106" i="23"/>
  <c r="I107" i="23" s="1"/>
  <c r="J106" i="23"/>
  <c r="N106" i="23" s="1"/>
  <c r="N107" i="23" s="1"/>
  <c r="D107" i="23"/>
  <c r="E107" i="23"/>
  <c r="F107" i="23"/>
  <c r="G107" i="23"/>
  <c r="M107" i="23"/>
  <c r="M116" i="23" s="1"/>
  <c r="H110" i="23"/>
  <c r="F81" i="9" s="1"/>
  <c r="G81" i="9" s="1"/>
  <c r="I110" i="23"/>
  <c r="I111" i="23" s="1"/>
  <c r="J110" i="23"/>
  <c r="N110" i="23" s="1"/>
  <c r="N111" i="23" s="1"/>
  <c r="D111" i="23"/>
  <c r="E111" i="23"/>
  <c r="F111" i="23"/>
  <c r="G111" i="23"/>
  <c r="H113" i="23"/>
  <c r="F84" i="9" s="1"/>
  <c r="G84" i="9" s="1"/>
  <c r="I113" i="23"/>
  <c r="I114" i="23" s="1"/>
  <c r="J113" i="23"/>
  <c r="D114" i="23"/>
  <c r="E114" i="23"/>
  <c r="F114" i="23"/>
  <c r="G114" i="23"/>
  <c r="Q116" i="23"/>
  <c r="N126" i="23"/>
  <c r="N18" i="23" s="1"/>
  <c r="N127" i="23"/>
  <c r="E33" i="47"/>
  <c r="I33" i="47" s="1"/>
  <c r="A1" i="52"/>
  <c r="L98" i="23"/>
  <c r="H41" i="13"/>
  <c r="H111" i="23"/>
  <c r="H107" i="23"/>
  <c r="N98" i="23"/>
  <c r="F64" i="9"/>
  <c r="G64" i="9" s="1"/>
  <c r="H64" i="9" s="1"/>
  <c r="O92" i="23" s="1"/>
  <c r="F44" i="9"/>
  <c r="G44" i="9" s="1"/>
  <c r="N80" i="23"/>
  <c r="N64" i="23"/>
  <c r="N62" i="23"/>
  <c r="N54" i="23"/>
  <c r="N37" i="23"/>
  <c r="N33" i="23"/>
  <c r="N29" i="23"/>
  <c r="N117" i="8"/>
  <c r="N115" i="8"/>
  <c r="H30" i="13"/>
  <c r="N127" i="8"/>
  <c r="N103" i="8"/>
  <c r="N91" i="8"/>
  <c r="N71" i="8"/>
  <c r="N67" i="8"/>
  <c r="H12" i="13" l="1"/>
  <c r="J12" i="13" s="1"/>
  <c r="E28" i="47"/>
  <c r="I57" i="8"/>
  <c r="H54" i="9"/>
  <c r="O80" i="23" s="1"/>
  <c r="H28" i="9"/>
  <c r="O44" i="23" s="1"/>
  <c r="J40" i="23"/>
  <c r="O93" i="8"/>
  <c r="H124" i="8"/>
  <c r="H76" i="8"/>
  <c r="L73" i="8"/>
  <c r="I18" i="48"/>
  <c r="H33" i="9"/>
  <c r="O50" i="23" s="1"/>
  <c r="N73" i="8"/>
  <c r="K110" i="23"/>
  <c r="K111" i="23" s="1"/>
  <c r="H81" i="9"/>
  <c r="O110" i="23" s="1"/>
  <c r="H78" i="9"/>
  <c r="O106" i="23" s="1"/>
  <c r="H56" i="9"/>
  <c r="O82" i="23" s="1"/>
  <c r="H38" i="9"/>
  <c r="O56" i="23" s="1"/>
  <c r="H32" i="9"/>
  <c r="O49" i="23" s="1"/>
  <c r="H24" i="9"/>
  <c r="O39" i="23" s="1"/>
  <c r="L135" i="8"/>
  <c r="L136" i="8" s="1"/>
  <c r="L48" i="8"/>
  <c r="H65" i="9"/>
  <c r="O93" i="23" s="1"/>
  <c r="K26" i="23"/>
  <c r="L116" i="8"/>
  <c r="J63" i="8"/>
  <c r="H44" i="9"/>
  <c r="O63" i="23" s="1"/>
  <c r="J100" i="23"/>
  <c r="J111" i="23"/>
  <c r="N93" i="8"/>
  <c r="E29" i="48"/>
  <c r="I29" i="48" s="1"/>
  <c r="K37" i="23"/>
  <c r="K35" i="23"/>
  <c r="K29" i="23"/>
  <c r="O106" i="8"/>
  <c r="K127" i="8"/>
  <c r="H112" i="8"/>
  <c r="K98" i="8"/>
  <c r="K74" i="8"/>
  <c r="K73" i="8"/>
  <c r="O76" i="8"/>
  <c r="G19" i="46"/>
  <c r="G21" i="46" s="1"/>
  <c r="K102" i="23"/>
  <c r="K92" i="23"/>
  <c r="K49" i="23"/>
  <c r="K38" i="23"/>
  <c r="N26" i="23"/>
  <c r="O100" i="8"/>
  <c r="O124" i="8"/>
  <c r="J76" i="8"/>
  <c r="N100" i="23"/>
  <c r="L45" i="8"/>
  <c r="L105" i="8"/>
  <c r="L62" i="8"/>
  <c r="L74" i="8"/>
  <c r="L102" i="23"/>
  <c r="L53" i="8"/>
  <c r="L71" i="8"/>
  <c r="L117" i="8"/>
  <c r="L49" i="23"/>
  <c r="L81" i="23"/>
  <c r="J83" i="23"/>
  <c r="D116" i="23"/>
  <c r="K33" i="23"/>
  <c r="K27" i="23"/>
  <c r="H75" i="9"/>
  <c r="O102" i="23" s="1"/>
  <c r="K61" i="8"/>
  <c r="I63" i="8"/>
  <c r="I124" i="8"/>
  <c r="K65" i="23"/>
  <c r="N58" i="23"/>
  <c r="K31" i="23"/>
  <c r="J25" i="13"/>
  <c r="J30" i="13" s="1"/>
  <c r="K123" i="8"/>
  <c r="J68" i="8"/>
  <c r="I68" i="8"/>
  <c r="K56" i="8"/>
  <c r="K54" i="8"/>
  <c r="L28" i="23"/>
  <c r="K103" i="23"/>
  <c r="K104" i="23" s="1"/>
  <c r="K94" i="23"/>
  <c r="H51" i="23"/>
  <c r="K44" i="8"/>
  <c r="O118" i="8"/>
  <c r="O112" i="8"/>
  <c r="O63" i="8"/>
  <c r="O57" i="8"/>
  <c r="C21" i="52"/>
  <c r="G21" i="52" s="1"/>
  <c r="C20" i="52"/>
  <c r="G20" i="52" s="1"/>
  <c r="L99" i="8"/>
  <c r="L52" i="8"/>
  <c r="A15" i="23"/>
  <c r="A118" i="23" s="1"/>
  <c r="A124" i="23" s="1"/>
  <c r="A133" i="23" s="1"/>
  <c r="L49" i="8"/>
  <c r="L98" i="8"/>
  <c r="L104" i="8"/>
  <c r="L61" i="8"/>
  <c r="K67" i="8"/>
  <c r="K71" i="8"/>
  <c r="N99" i="8"/>
  <c r="L111" i="8"/>
  <c r="N124" i="8"/>
  <c r="L84" i="8"/>
  <c r="L27" i="23"/>
  <c r="K106" i="23"/>
  <c r="K107" i="23" s="1"/>
  <c r="K88" i="23"/>
  <c r="K87" i="23"/>
  <c r="K82" i="23"/>
  <c r="K80" i="23"/>
  <c r="J51" i="23"/>
  <c r="K45" i="23"/>
  <c r="K44" i="23"/>
  <c r="K39" i="23"/>
  <c r="K122" i="8"/>
  <c r="K124" i="8" s="1"/>
  <c r="K109" i="8"/>
  <c r="N98" i="8"/>
  <c r="K97" i="8"/>
  <c r="K87" i="8"/>
  <c r="K52" i="8"/>
  <c r="K50" i="8"/>
  <c r="K48" i="8"/>
  <c r="K46" i="8"/>
  <c r="N106" i="8"/>
  <c r="N112" i="8"/>
  <c r="H70" i="9"/>
  <c r="O98" i="23" s="1"/>
  <c r="H55" i="9"/>
  <c r="O81" i="23" s="1"/>
  <c r="N52" i="8"/>
  <c r="L60" i="8"/>
  <c r="L50" i="8"/>
  <c r="G57" i="8"/>
  <c r="G138" i="8" s="1"/>
  <c r="J124" i="8"/>
  <c r="N118" i="8"/>
  <c r="N49" i="23"/>
  <c r="N51" i="23" s="1"/>
  <c r="N94" i="23"/>
  <c r="L82" i="23"/>
  <c r="L50" i="23"/>
  <c r="H114" i="23"/>
  <c r="H89" i="23"/>
  <c r="H45" i="9"/>
  <c r="O64" i="23" s="1"/>
  <c r="K62" i="23"/>
  <c r="K55" i="23"/>
  <c r="H46" i="23"/>
  <c r="J14" i="13"/>
  <c r="K115" i="8"/>
  <c r="K103" i="8"/>
  <c r="H104" i="23"/>
  <c r="K98" i="23"/>
  <c r="I83" i="23"/>
  <c r="F116" i="23"/>
  <c r="F18" i="24"/>
  <c r="H76" i="21" s="1"/>
  <c r="L30" i="13"/>
  <c r="F138" i="8"/>
  <c r="K117" i="8"/>
  <c r="K111" i="8"/>
  <c r="K105" i="8"/>
  <c r="H106" i="8"/>
  <c r="L85" i="8"/>
  <c r="F69" i="9"/>
  <c r="G69" i="9" s="1"/>
  <c r="H69" i="9" s="1"/>
  <c r="O97" i="23" s="1"/>
  <c r="H100" i="23"/>
  <c r="K93" i="23"/>
  <c r="N93" i="23"/>
  <c r="F37" i="9"/>
  <c r="G37" i="9" s="1"/>
  <c r="H37" i="9" s="1"/>
  <c r="O55" i="23" s="1"/>
  <c r="H59" i="23"/>
  <c r="E116" i="23"/>
  <c r="K66" i="8"/>
  <c r="K68" i="8" s="1"/>
  <c r="N66" i="8"/>
  <c r="N68" i="8" s="1"/>
  <c r="L43" i="8"/>
  <c r="L47" i="8"/>
  <c r="L51" i="8"/>
  <c r="L55" i="8"/>
  <c r="L66" i="8"/>
  <c r="L92" i="8"/>
  <c r="L110" i="8"/>
  <c r="L46" i="8"/>
  <c r="L54" i="8"/>
  <c r="L86" i="8"/>
  <c r="L123" i="8"/>
  <c r="L44" i="8"/>
  <c r="L72" i="8"/>
  <c r="L75" i="8"/>
  <c r="N85" i="8"/>
  <c r="J88" i="8"/>
  <c r="N97" i="8"/>
  <c r="J100" i="8"/>
  <c r="J106" i="8"/>
  <c r="L109" i="8"/>
  <c r="L115" i="8"/>
  <c r="L122" i="8"/>
  <c r="J112" i="8"/>
  <c r="J118" i="8"/>
  <c r="N27" i="23"/>
  <c r="N31" i="23"/>
  <c r="N35" i="23"/>
  <c r="N39" i="23"/>
  <c r="N44" i="23"/>
  <c r="N46" i="23" s="1"/>
  <c r="N82" i="23"/>
  <c r="N87" i="23"/>
  <c r="N89" i="23" s="1"/>
  <c r="I100" i="23"/>
  <c r="J107" i="23"/>
  <c r="L110" i="23"/>
  <c r="L111" i="23" s="1"/>
  <c r="L92" i="23"/>
  <c r="L64" i="23"/>
  <c r="L35" i="23"/>
  <c r="L97" i="23"/>
  <c r="L63" i="23"/>
  <c r="L36" i="23"/>
  <c r="N65" i="23"/>
  <c r="N66" i="23" s="1"/>
  <c r="F43" i="9"/>
  <c r="G43" i="9" s="1"/>
  <c r="H43" i="9" s="1"/>
  <c r="O62" i="23" s="1"/>
  <c r="H66" i="23"/>
  <c r="N55" i="23"/>
  <c r="K96" i="8"/>
  <c r="N96" i="8"/>
  <c r="K62" i="8"/>
  <c r="N62" i="8"/>
  <c r="N63" i="8" s="1"/>
  <c r="N54" i="8"/>
  <c r="K53" i="8"/>
  <c r="N53" i="8"/>
  <c r="N50" i="8"/>
  <c r="K49" i="8"/>
  <c r="N49" i="8"/>
  <c r="N46" i="8"/>
  <c r="K45" i="8"/>
  <c r="N45" i="8"/>
  <c r="H84" i="9"/>
  <c r="O113" i="23" s="1"/>
  <c r="K99" i="23"/>
  <c r="H61" i="9"/>
  <c r="O88" i="23" s="1"/>
  <c r="H59" i="9"/>
  <c r="O86" i="23" s="1"/>
  <c r="K64" i="23"/>
  <c r="I59" i="23"/>
  <c r="K56" i="23"/>
  <c r="H29" i="9"/>
  <c r="O45" i="23" s="1"/>
  <c r="H27" i="9"/>
  <c r="O43" i="23" s="1"/>
  <c r="K36" i="23"/>
  <c r="K32" i="23"/>
  <c r="K30" i="23"/>
  <c r="K28" i="23"/>
  <c r="H11" i="9"/>
  <c r="O26" i="23" s="1"/>
  <c r="H21" i="9"/>
  <c r="O35" i="23" s="1"/>
  <c r="H20" i="9"/>
  <c r="O34" i="23" s="1"/>
  <c r="H19" i="9"/>
  <c r="O33" i="23" s="1"/>
  <c r="H18" i="9"/>
  <c r="O32" i="23" s="1"/>
  <c r="H17" i="9"/>
  <c r="O31" i="23" s="1"/>
  <c r="H16" i="9"/>
  <c r="O30" i="23" s="1"/>
  <c r="H15" i="9"/>
  <c r="O38" i="23" s="1"/>
  <c r="H14" i="9"/>
  <c r="O28" i="23" s="1"/>
  <c r="H13" i="9"/>
  <c r="O29" i="23" s="1"/>
  <c r="K135" i="8"/>
  <c r="K136" i="8" s="1"/>
  <c r="K104" i="8"/>
  <c r="K99" i="8"/>
  <c r="I100" i="8"/>
  <c r="I93" i="8"/>
  <c r="K91" i="8"/>
  <c r="H93" i="8"/>
  <c r="K86" i="8"/>
  <c r="K72" i="8"/>
  <c r="K60" i="8"/>
  <c r="H63" i="8"/>
  <c r="K55" i="8"/>
  <c r="K51" i="8"/>
  <c r="K47" i="8"/>
  <c r="K43" i="8"/>
  <c r="E19" i="48"/>
  <c r="I19" i="48" s="1"/>
  <c r="I95" i="23"/>
  <c r="I89" i="23"/>
  <c r="K70" i="23"/>
  <c r="N70" i="23"/>
  <c r="N71" i="23" s="1"/>
  <c r="I66" i="23"/>
  <c r="I51" i="23"/>
  <c r="I46" i="23"/>
  <c r="I40" i="23"/>
  <c r="L56" i="8"/>
  <c r="K113" i="23"/>
  <c r="K114" i="23" s="1"/>
  <c r="G116" i="23"/>
  <c r="N103" i="23"/>
  <c r="N104" i="23" s="1"/>
  <c r="I104" i="23"/>
  <c r="K97" i="23"/>
  <c r="H95" i="23"/>
  <c r="K86" i="23"/>
  <c r="K79" i="23"/>
  <c r="N79" i="23"/>
  <c r="J71" i="23"/>
  <c r="K50" i="23"/>
  <c r="K51" i="23" s="1"/>
  <c r="K34" i="23"/>
  <c r="N34" i="23"/>
  <c r="K81" i="23"/>
  <c r="I71" i="23"/>
  <c r="K69" i="23"/>
  <c r="H71" i="23"/>
  <c r="K63" i="23"/>
  <c r="K57" i="23"/>
  <c r="K54" i="23"/>
  <c r="K43" i="23"/>
  <c r="H22" i="9"/>
  <c r="O37" i="23" s="1"/>
  <c r="N30" i="23"/>
  <c r="H74" i="9"/>
  <c r="O103" i="23" s="1"/>
  <c r="H50" i="9"/>
  <c r="O69" i="23" s="1"/>
  <c r="H49" i="9"/>
  <c r="O70" i="23" s="1"/>
  <c r="O68" i="8"/>
  <c r="F16" i="24"/>
  <c r="H73" i="21" s="1"/>
  <c r="J136" i="8"/>
  <c r="K131" i="8"/>
  <c r="K132" i="8" s="1"/>
  <c r="K116" i="8"/>
  <c r="K110" i="8"/>
  <c r="K112" i="8" s="1"/>
  <c r="I106" i="8"/>
  <c r="H100" i="8"/>
  <c r="J93" i="8"/>
  <c r="K92" i="8"/>
  <c r="E138" i="8"/>
  <c r="I88" i="8"/>
  <c r="N86" i="8"/>
  <c r="K85" i="8"/>
  <c r="K84" i="8"/>
  <c r="N74" i="8"/>
  <c r="N72" i="8"/>
  <c r="H68" i="8"/>
  <c r="J57" i="8"/>
  <c r="H40" i="23"/>
  <c r="I118" i="8"/>
  <c r="I112" i="8"/>
  <c r="H88" i="8"/>
  <c r="I76" i="8"/>
  <c r="D138" i="8"/>
  <c r="A3" i="46"/>
  <c r="A1" i="48"/>
  <c r="A1" i="47"/>
  <c r="E22" i="48"/>
  <c r="P116" i="23"/>
  <c r="L106" i="23"/>
  <c r="L107" i="23" s="1"/>
  <c r="L94" i="23"/>
  <c r="L87" i="23"/>
  <c r="L80" i="23"/>
  <c r="L56" i="23"/>
  <c r="L39" i="23"/>
  <c r="L31" i="23"/>
  <c r="L103" i="23"/>
  <c r="L88" i="23"/>
  <c r="L70" i="23"/>
  <c r="L57" i="23"/>
  <c r="L43" i="23"/>
  <c r="L32" i="23"/>
  <c r="L127" i="8"/>
  <c r="L131" i="8"/>
  <c r="L132" i="8" s="1"/>
  <c r="L91" i="8"/>
  <c r="L96" i="8"/>
  <c r="O88" i="8"/>
  <c r="H83" i="23"/>
  <c r="H57" i="8"/>
  <c r="N128" i="23"/>
  <c r="N131" i="23" s="1"/>
  <c r="J114" i="23"/>
  <c r="N113" i="23"/>
  <c r="N114" i="23" s="1"/>
  <c r="J104" i="23"/>
  <c r="J89" i="23"/>
  <c r="J66" i="23"/>
  <c r="J59" i="23"/>
  <c r="J46" i="23"/>
  <c r="J132" i="8"/>
  <c r="N131" i="8"/>
  <c r="N132" i="8" s="1"/>
  <c r="L69" i="23"/>
  <c r="L62" i="23"/>
  <c r="L54" i="23"/>
  <c r="L44" i="23"/>
  <c r="L37" i="23"/>
  <c r="L33" i="23"/>
  <c r="L29" i="23"/>
  <c r="L113" i="23"/>
  <c r="L114" i="23" s="1"/>
  <c r="L99" i="23"/>
  <c r="L93" i="23"/>
  <c r="L86" i="23"/>
  <c r="L79" i="23"/>
  <c r="L65" i="23"/>
  <c r="L58" i="23"/>
  <c r="L55" i="23"/>
  <c r="L45" i="23"/>
  <c r="L38" i="23"/>
  <c r="L34" i="23"/>
  <c r="L30" i="23"/>
  <c r="L26" i="23"/>
  <c r="L103" i="8"/>
  <c r="L97" i="8"/>
  <c r="L87" i="8"/>
  <c r="L67" i="8"/>
  <c r="F42" i="21"/>
  <c r="H20" i="13"/>
  <c r="J20" i="13" s="1"/>
  <c r="J41" i="13"/>
  <c r="J44" i="13" s="1"/>
  <c r="H44" i="13"/>
  <c r="N95" i="23" l="1"/>
  <c r="H13" i="13"/>
  <c r="J13" i="13" s="1"/>
  <c r="F41" i="21"/>
  <c r="H8" i="21"/>
  <c r="H16" i="21" s="1"/>
  <c r="K95" i="23"/>
  <c r="K76" i="8"/>
  <c r="H116" i="23"/>
  <c r="L68" i="8"/>
  <c r="E36" i="48"/>
  <c r="A20" i="23"/>
  <c r="E33" i="48"/>
  <c r="I33" i="48" s="1"/>
  <c r="L63" i="8"/>
  <c r="L100" i="8"/>
  <c r="L118" i="8"/>
  <c r="I19" i="46"/>
  <c r="L124" i="8"/>
  <c r="L51" i="23"/>
  <c r="G25" i="46"/>
  <c r="G29" i="46" s="1"/>
  <c r="I12" i="46"/>
  <c r="N88" i="8"/>
  <c r="C15" i="52"/>
  <c r="G15" i="52" s="1"/>
  <c r="L106" i="8"/>
  <c r="L93" i="8"/>
  <c r="L104" i="23"/>
  <c r="N59" i="23"/>
  <c r="L95" i="23"/>
  <c r="N83" i="23"/>
  <c r="K100" i="23"/>
  <c r="K63" i="8"/>
  <c r="K106" i="8"/>
  <c r="L57" i="8"/>
  <c r="L112" i="8"/>
  <c r="A141" i="23"/>
  <c r="A145" i="23" s="1"/>
  <c r="A149" i="23" s="1"/>
  <c r="A6" i="21" s="1"/>
  <c r="A18" i="21" s="1"/>
  <c r="H16" i="13"/>
  <c r="E17" i="48"/>
  <c r="H138" i="8"/>
  <c r="K46" i="23"/>
  <c r="E23" i="47"/>
  <c r="I23" i="47" s="1"/>
  <c r="N100" i="8"/>
  <c r="K88" i="8"/>
  <c r="L40" i="23"/>
  <c r="L83" i="23"/>
  <c r="N76" i="8"/>
  <c r="K118" i="8"/>
  <c r="N40" i="23"/>
  <c r="I116" i="23"/>
  <c r="Q118" i="23" s="1"/>
  <c r="R118" i="23" s="1"/>
  <c r="K89" i="23"/>
  <c r="L76" i="8"/>
  <c r="L66" i="23"/>
  <c r="J116" i="23"/>
  <c r="Q130" i="23" s="1"/>
  <c r="O138" i="8"/>
  <c r="K93" i="8"/>
  <c r="L88" i="8"/>
  <c r="L100" i="23"/>
  <c r="J138" i="8"/>
  <c r="I138" i="8"/>
  <c r="K66" i="23"/>
  <c r="K40" i="23"/>
  <c r="K57" i="8"/>
  <c r="N57" i="8"/>
  <c r="K100" i="8"/>
  <c r="K59" i="23"/>
  <c r="K71" i="23"/>
  <c r="K83" i="23"/>
  <c r="J9" i="13"/>
  <c r="I28" i="47"/>
  <c r="A3" i="52"/>
  <c r="A3" i="47"/>
  <c r="L71" i="23"/>
  <c r="E37" i="48"/>
  <c r="I22" i="48"/>
  <c r="L89" i="23"/>
  <c r="L59" i="23"/>
  <c r="L46" i="23"/>
  <c r="E20" i="48"/>
  <c r="H26" i="13"/>
  <c r="J26" i="13" s="1"/>
  <c r="J17" i="13" l="1"/>
  <c r="F38" i="21"/>
  <c r="E24" i="48"/>
  <c r="I24" i="48" s="1"/>
  <c r="L9" i="13"/>
  <c r="L17" i="13" s="1"/>
  <c r="L36" i="13" s="1"/>
  <c r="L46" i="13" s="1"/>
  <c r="L50" i="13" s="1"/>
  <c r="L52" i="13" s="1"/>
  <c r="Q131" i="23"/>
  <c r="K138" i="8"/>
  <c r="E50" i="48"/>
  <c r="I50" i="48" s="1"/>
  <c r="I53" i="48" s="1"/>
  <c r="E41" i="48"/>
  <c r="I41" i="48" s="1"/>
  <c r="N116" i="23"/>
  <c r="Q114" i="23" s="1"/>
  <c r="L138" i="8"/>
  <c r="K116" i="23"/>
  <c r="N138" i="8"/>
  <c r="A78" i="21"/>
  <c r="A83" i="21" s="1"/>
  <c r="A20" i="21"/>
  <c r="A25" i="21" s="1"/>
  <c r="A28" i="21" s="1"/>
  <c r="H28" i="13"/>
  <c r="J28" i="13" s="1"/>
  <c r="H27" i="13"/>
  <c r="J27" i="13" s="1"/>
  <c r="E42" i="48"/>
  <c r="A3" i="48"/>
  <c r="I36" i="48"/>
  <c r="I37" i="48"/>
  <c r="E35" i="48"/>
  <c r="I20" i="48"/>
  <c r="I17" i="48"/>
  <c r="L116" i="23"/>
  <c r="E44" i="48" l="1"/>
  <c r="I44" i="48" s="1"/>
  <c r="E53" i="48"/>
  <c r="E26" i="47"/>
  <c r="I26" i="47" s="1"/>
  <c r="I42" i="48"/>
  <c r="I35" i="48"/>
  <c r="H29" i="13"/>
  <c r="J29" i="13" s="1"/>
  <c r="E38" i="48" l="1"/>
  <c r="H19" i="13"/>
  <c r="F8" i="21" l="1"/>
  <c r="F16" i="21" s="1"/>
  <c r="E14" i="46"/>
  <c r="E21" i="46" s="1"/>
  <c r="E25" i="46" s="1"/>
  <c r="H9" i="13"/>
  <c r="H17" i="13" s="1"/>
  <c r="E39" i="48"/>
  <c r="I38" i="48"/>
  <c r="I39" i="48" s="1"/>
  <c r="E28" i="48"/>
  <c r="H22" i="13"/>
  <c r="J19" i="13"/>
  <c r="J22" i="13" s="1"/>
  <c r="J36" i="13" s="1"/>
  <c r="J46" i="13" s="1"/>
  <c r="J50" i="13" s="1"/>
  <c r="E30" i="47" l="1"/>
  <c r="I30" i="47" s="1"/>
  <c r="I35" i="47" s="1"/>
  <c r="I37" i="47" s="1"/>
  <c r="H36" i="13"/>
  <c r="H46" i="13" s="1"/>
  <c r="H50" i="13" s="1"/>
  <c r="K56" i="13" s="1"/>
  <c r="E13" i="48"/>
  <c r="E26" i="48" s="1"/>
  <c r="I14" i="46"/>
  <c r="I28" i="48"/>
  <c r="E30" i="48"/>
  <c r="E29" i="46"/>
  <c r="E35" i="47" l="1"/>
  <c r="E37" i="47" s="1"/>
  <c r="K58" i="13"/>
  <c r="E46" i="48"/>
  <c r="E55" i="48" s="1"/>
  <c r="E59" i="48" s="1"/>
  <c r="E73" i="48" s="1"/>
  <c r="I21" i="46"/>
  <c r="I25" i="46" s="1"/>
  <c r="I13" i="48"/>
  <c r="I26" i="48" s="1"/>
  <c r="I30" i="48"/>
  <c r="K26" i="46" l="1"/>
  <c r="I29" i="46"/>
  <c r="I46" i="48"/>
  <c r="I55" i="48" s="1"/>
  <c r="I59" i="48" s="1"/>
  <c r="I61" i="48" s="1"/>
</calcChain>
</file>

<file path=xl/sharedStrings.xml><?xml version="1.0" encoding="utf-8"?>
<sst xmlns="http://schemas.openxmlformats.org/spreadsheetml/2006/main" count="1381" uniqueCount="816">
  <si>
    <t>Class A: These units are not subject to any restrictions (i.e units can be redeemed at the option of the unit holders).</t>
  </si>
  <si>
    <t>The Fund is an open-ended mutual fund. Units are offered for subscription on a continuous basis. The units are transferable and can be redeemed by surrendering them to the Fund. Units of the Fund comprise of the following two types:</t>
  </si>
  <si>
    <t>PAKISTAN PETROLEUM LIMITED</t>
  </si>
  <si>
    <t>OIL &amp; GAS EXPLORATION</t>
  </si>
  <si>
    <t>PAKISTAN TELECOMMUNICATIONS</t>
  </si>
  <si>
    <t>TELECARD  LIMITED</t>
  </si>
  <si>
    <t>WORDCALL TELECOMM LIMITED</t>
  </si>
  <si>
    <t>TECHNOLOGY &amp; COMMUNICATION</t>
  </si>
  <si>
    <t>ENGRO CHEMICALS PAKISTAN LIMITED</t>
  </si>
  <si>
    <t>FAUJI FERTILISER BIN QASIM LIMITED</t>
  </si>
  <si>
    <t>FAUJI FERTILIZER COMPANY LIMITED</t>
  </si>
  <si>
    <t>FERTILISER</t>
  </si>
  <si>
    <t>PAKISTAN PTA LIMITED</t>
  </si>
  <si>
    <t>ICI PAKISTAN LIMITED</t>
  </si>
  <si>
    <t>CHEMICAL</t>
  </si>
  <si>
    <t>INDUS MOTOR COMPANY LIMITED</t>
  </si>
  <si>
    <t>AUTO ASSEMBLER</t>
  </si>
  <si>
    <t>PAK INT'L CONTAINER TERMINAL LIMITED</t>
  </si>
  <si>
    <t>TRANSPORT</t>
  </si>
  <si>
    <t>PACKAGES LIMITED</t>
  </si>
  <si>
    <t>PAPER &amp; BOARD</t>
  </si>
  <si>
    <t>Paid Up Capital</t>
  </si>
  <si>
    <t>Rupees in million</t>
  </si>
  <si>
    <t>A</t>
  </si>
  <si>
    <t>C</t>
  </si>
  <si>
    <t>D=C*1,000,000</t>
  </si>
  <si>
    <t>B=A/D</t>
  </si>
  <si>
    <t>Quarter Ended December 31, 2009</t>
  </si>
  <si>
    <t>Undistributed income carried forward</t>
  </si>
  <si>
    <t>Realised income</t>
  </si>
  <si>
    <t>Unrealised income</t>
  </si>
  <si>
    <t>Limited</t>
  </si>
  <si>
    <t>CASH FLOW FROM OPERATING ACTIVITIES</t>
  </si>
  <si>
    <t>Net income for the period</t>
  </si>
  <si>
    <t xml:space="preserve">Element of income and capital gains included in prices </t>
  </si>
  <si>
    <t>of units issued less those in units redeemed</t>
  </si>
  <si>
    <t xml:space="preserve">Increase / (decrease) in liabilities </t>
  </si>
  <si>
    <t>CASH FLOW FROM FINANCING ACTIVITIES</t>
  </si>
  <si>
    <t>Cash and cash equivalents at the beginning of the period</t>
  </si>
  <si>
    <t>Cash and cash equivalents at the end of the period</t>
  </si>
  <si>
    <t>Textile Composite</t>
  </si>
  <si>
    <t>Net cash outflow from operating activities</t>
  </si>
  <si>
    <t>Net Receipts from Issue/ Redemption of Units</t>
  </si>
  <si>
    <t>Net cash inflow/ (Outflow) from financing activities</t>
  </si>
  <si>
    <t>Net increase/ (decrease) in cash and cash equivalents during the period</t>
  </si>
  <si>
    <t xml:space="preserve">(Increase)/ Decrease  in assets </t>
  </si>
  <si>
    <t>For the period September 14, 2009 to December 31, 2009</t>
  </si>
  <si>
    <t>Cash Flow December 31, 2009</t>
  </si>
  <si>
    <t>LEGAL STATUS AND NATURE OF BUSINESS</t>
  </si>
  <si>
    <t>BASIS OF PREPARATION</t>
  </si>
  <si>
    <t>Statement of compliance</t>
  </si>
  <si>
    <t xml:space="preserve">Taxation </t>
  </si>
  <si>
    <t xml:space="preserve">Revenue recognition </t>
  </si>
  <si>
    <t>INVESTMENTS</t>
  </si>
  <si>
    <t xml:space="preserve">EARNINGS PER UNIT </t>
  </si>
  <si>
    <t>TRANSACTIONS WITH CONNECTED PERSONS</t>
  </si>
  <si>
    <t>The transactions with connected persons are in the normal course of business, at contracted terms determined in accordance with market rates.</t>
  </si>
  <si>
    <t>National Investment Trust Limited - Management Company</t>
  </si>
  <si>
    <t>Central Depository Company of Pakistan Limited - Trustee</t>
  </si>
  <si>
    <t>Remuneration</t>
  </si>
  <si>
    <t>Amounts outstanding as at period end</t>
  </si>
  <si>
    <t xml:space="preserve">Remuneration payable </t>
  </si>
  <si>
    <t>DATE OF AUTHORISATION FOR ISSUE</t>
  </si>
  <si>
    <t>GENERAL</t>
  </si>
  <si>
    <t>Figures have been rounded off to the nearest thousand Rupees.</t>
  </si>
  <si>
    <t>FOR THE HALF YEAR AND QUARTER ENDED DECEMBER 31, 2009</t>
  </si>
  <si>
    <t>Half year Ended December 31, 2009</t>
  </si>
  <si>
    <t>Available for sale</t>
  </si>
  <si>
    <t>3.10</t>
  </si>
  <si>
    <t>The Net Asset Value per unit as disclosed on the Statement of Assets and Liabilities is calculated by dividing the net assets of the Fund by the number of units in circulation at the period end.</t>
  </si>
  <si>
    <t>-</t>
  </si>
  <si>
    <t>National Invesment Trust Limited</t>
  </si>
  <si>
    <t>Equity Market Opportunity Fund</t>
  </si>
  <si>
    <t>Working for RP Note</t>
  </si>
  <si>
    <t>Number of Units as at December 31, 2009</t>
  </si>
  <si>
    <t>Total Number of Units As at December 31, 2009</t>
  </si>
  <si>
    <t>Total Net Assets As At December 31, 2009</t>
  </si>
  <si>
    <t>Value</t>
  </si>
  <si>
    <t>Name of Unit Holder</t>
  </si>
  <si>
    <t>Serial Number</t>
  </si>
  <si>
    <t>State Life Insurance Coperation of Pakistan</t>
  </si>
  <si>
    <t>B</t>
  </si>
  <si>
    <t>D=A*C/B</t>
  </si>
  <si>
    <t>Issue of 20,690,007 units</t>
  </si>
  <si>
    <t>17,586,506 units held</t>
  </si>
  <si>
    <t>Capital  gains / (losses) arising on sale of investments are included in the income statement on the date at which the transaction takes place.</t>
  </si>
  <si>
    <t>Limited - Trustee</t>
  </si>
  <si>
    <t>Dividend income is recognised when the right to receive the payment is established.</t>
  </si>
  <si>
    <t>Profit on bank deposits is recognised on an accrual basis.</t>
  </si>
  <si>
    <t>Fair value reserve</t>
  </si>
  <si>
    <t>Balance at September 11</t>
  </si>
  <si>
    <t>Revaluation</t>
  </si>
  <si>
    <t>Balance at September 30</t>
  </si>
  <si>
    <t>TAXATION</t>
  </si>
  <si>
    <t>Habib Bank Limited</t>
  </si>
  <si>
    <t>MCB Bank Limited</t>
  </si>
  <si>
    <t>Dividend income</t>
  </si>
  <si>
    <t>Lotte Pakistan PTA Limited</t>
  </si>
  <si>
    <t>Commercial Banks</t>
  </si>
  <si>
    <t>EFU General Insurance Limited</t>
  </si>
  <si>
    <t>Fertilizer</t>
  </si>
  <si>
    <t xml:space="preserve">Less : Net unrealised appreciation/ (diminution) in fair value of </t>
  </si>
  <si>
    <t>Custodian Charges payable</t>
  </si>
  <si>
    <t xml:space="preserve">Investee Paid up capital </t>
  </si>
  <si>
    <t>NIB Bank Limited</t>
  </si>
  <si>
    <t>No  of Shares</t>
  </si>
  <si>
    <t>SUI SOUTHERN GAS COMPANY LIMITED</t>
  </si>
  <si>
    <t xml:space="preserve">AS A PERCENTAGE OF PAIDUP CAPITAL </t>
  </si>
  <si>
    <t>No of Shares *10</t>
  </si>
  <si>
    <t>Number of shares / certificate</t>
  </si>
  <si>
    <t>investment at the beginning of period</t>
  </si>
  <si>
    <t xml:space="preserve"> 17,821,401 units held</t>
  </si>
  <si>
    <t>Impairment loss on two scrips</t>
  </si>
  <si>
    <t>Liability (broker payable)</t>
  </si>
  <si>
    <t>P&amp;L(Capital gain)</t>
  </si>
  <si>
    <t>Broker commision on Pakistan Petroleum Limited, (sale of 31 december, 2009) now rectified. Previously taken as .35 whereas correct figure is .21. Therefore expense was over recorded which is adjusted.</t>
  </si>
  <si>
    <t xml:space="preserve"> Investee Paid up Capital</t>
  </si>
  <si>
    <t xml:space="preserve">Investee Paid up Capital </t>
  </si>
  <si>
    <t>Pakistan Telecommunication</t>
  </si>
  <si>
    <t>Engro Chemical Pakistan Limited</t>
  </si>
  <si>
    <t>Total- December 31, 2009</t>
  </si>
  <si>
    <t>CONTINGENCIES AND COMMITMENTS</t>
  </si>
  <si>
    <t>Details of  transactions with connected persons are as follows :</t>
  </si>
  <si>
    <t>Custodian charges</t>
  </si>
  <si>
    <t>State Life Insurance Corporation of Pakistan</t>
  </si>
  <si>
    <t>National Bank of Pakistan</t>
  </si>
  <si>
    <t>Put Investment Disclosure afterwards</t>
  </si>
  <si>
    <t xml:space="preserve">Impairment against equity securities classified as 'available for sale' </t>
  </si>
  <si>
    <t>Number of units outstanding as at December 31, 2009</t>
  </si>
  <si>
    <t>Investments include shares with market value of Rs 871.77 million which have been pledged with National Clearing Company of Pakistan for guaranteeing settlement of the Fund's trades  in accordance with circular no. 11 dated October 23, 2007 issued by the Securities and Exchange Commission of Pakistan.</t>
  </si>
  <si>
    <t>Less: Carrying value of investments</t>
  </si>
  <si>
    <t xml:space="preserve">Silk Bank Limited </t>
  </si>
  <si>
    <t>Payable in respect of initial deposit paid for opening of bank account</t>
  </si>
  <si>
    <t>Net unrealised appreciation/ (diminution) in fair value of investment classified as ' available for sale'</t>
  </si>
  <si>
    <t>Unrealised loss (Equity)</t>
  </si>
  <si>
    <t>The Hub Power Generation Company Limited</t>
  </si>
  <si>
    <t>Kot Addu Power Company Limited</t>
  </si>
  <si>
    <t>Power Generation</t>
  </si>
  <si>
    <t>Attock Petroleum Limited</t>
  </si>
  <si>
    <t>Pakistan State Oil Company Limited</t>
  </si>
  <si>
    <t>Sui Northern Gas Pipelines Limited</t>
  </si>
  <si>
    <t>Sui Southern Gas Company Limited</t>
  </si>
  <si>
    <t>Oil &amp; Gas Marketing</t>
  </si>
  <si>
    <t>Oil &amp; Gas Dev Company Limited</t>
  </si>
  <si>
    <t>Pakistan Oilfields Limited</t>
  </si>
  <si>
    <t>Pakistan Petroleum Limited</t>
  </si>
  <si>
    <t>Oil &amp; Gas Exploration</t>
  </si>
  <si>
    <t>Pakistan Telecommunications</t>
  </si>
  <si>
    <t>Telecard  Limited</t>
  </si>
  <si>
    <t>Wordcall Telecomm Limited</t>
  </si>
  <si>
    <t>Technology &amp; Communication</t>
  </si>
  <si>
    <t>Engro Chemicals Pakistan Limited</t>
  </si>
  <si>
    <t>Fauji Fertiliser Bin Qasim Limited</t>
  </si>
  <si>
    <t>Fauji Fertilizer Company Limited</t>
  </si>
  <si>
    <t>Fertiliser</t>
  </si>
  <si>
    <t>Chemical</t>
  </si>
  <si>
    <t>Indus Motor Company Limited</t>
  </si>
  <si>
    <t>Auto Assembler</t>
  </si>
  <si>
    <t>Pak Int'l Container Terminal Limited</t>
  </si>
  <si>
    <t>Transport</t>
  </si>
  <si>
    <t xml:space="preserve">Impairment loss </t>
  </si>
  <si>
    <t>Packages Limited</t>
  </si>
  <si>
    <t>Paper &amp; Board</t>
  </si>
  <si>
    <t>ICI Pakistan Limited</t>
  </si>
  <si>
    <t>Pakistan PTA Limited</t>
  </si>
  <si>
    <t xml:space="preserve">Decemer 31, </t>
  </si>
  <si>
    <t>Company Limited</t>
  </si>
  <si>
    <t>HUB POWER COMPANY LIMITED</t>
  </si>
  <si>
    <t>KOT ADDU POWER COMPANY LIMITED</t>
  </si>
  <si>
    <t>POWER GENERATION</t>
  </si>
  <si>
    <t>ATTOCK PETROLEUM LIMITED</t>
  </si>
  <si>
    <t>PAKISTAN STATE OIL COMPANY LIMITED</t>
  </si>
  <si>
    <t>SUI NORTHERN GAS PIPELINES LIMITED</t>
  </si>
  <si>
    <t>Net unrealised diminution in fair value of investment classified as 'available for sale'</t>
  </si>
  <si>
    <t>The "net elementof income/ (loss) and capital gains/ (losses) in prices of units issued less those in units redeemed " account is credited with the amount representing net income/ (loss) and capital gains/ (losses) for in the net asset value and included in the sale proceeds of units. Upon redemption of units, the "element of income/ (loss) and capital gains/ (losses) in prices of units issued less those in units redeemed" account is debited with the amount representing net income/ (loss) and Capital gains/ (losses) accounted for in the net asset value and included in the redemption price.</t>
  </si>
  <si>
    <t>The net "element of income/ (loss) and Capital gains/ (losses) in prices of units issued less those in units redeemed" during an accounting period is trnasfered to the income statement.</t>
  </si>
  <si>
    <t>Equity securities- Listed</t>
  </si>
  <si>
    <t xml:space="preserve">  CASH FLOW STATEMENT  </t>
  </si>
  <si>
    <t xml:space="preserve"> </t>
  </si>
  <si>
    <t>-----------Rupees in '000-----------</t>
  </si>
  <si>
    <t>CONDENSED INTERIM STATEMENT OF ASSETS AND LIABILITIES</t>
  </si>
  <si>
    <t>(Audited)</t>
  </si>
  <si>
    <t>--------------Number of units----------------</t>
  </si>
  <si>
    <t>------------------(Rupees)------------------</t>
  </si>
  <si>
    <t>prices of units issued less those in units redeemed</t>
  </si>
  <si>
    <t xml:space="preserve">Element of (income) / loss and capital (gains) / losses included in </t>
  </si>
  <si>
    <t>Net receipts/(payments) made against sales/(redemption) of units</t>
  </si>
  <si>
    <t>NIT EQUITY MARKET OPPORTUNITY FUND</t>
  </si>
  <si>
    <t>Power Generation and Distribution</t>
  </si>
  <si>
    <t xml:space="preserve">Earnings per unit </t>
  </si>
  <si>
    <t>Put Investment Diclosure afterwards</t>
  </si>
  <si>
    <t>Capital Gain (P/L)</t>
  </si>
  <si>
    <t>Cost of Investment As at September 14, 2009 has been adjusted and taken as Market Value as at September 11,2009. Capital gain was  overstated so adjusting entry passed.</t>
  </si>
  <si>
    <t>Adjusting Enrty</t>
  </si>
  <si>
    <t>Bank (ABL)</t>
  </si>
  <si>
    <t xml:space="preserve">Profit Receivable on Bank </t>
  </si>
  <si>
    <t>ABL has credited Profit on 31-12-09, therefore it has to be incorporated.</t>
  </si>
  <si>
    <t xml:space="preserve">Tie </t>
  </si>
  <si>
    <t>Dividend and profit received</t>
  </si>
  <si>
    <t>Deposit with National Clearing Company of Pakistan Limited</t>
  </si>
  <si>
    <t>ASSETS</t>
  </si>
  <si>
    <t>LIABILITIES</t>
  </si>
  <si>
    <t>(Rupees in '000)</t>
  </si>
  <si>
    <t>Net assets at the beginning of the period</t>
  </si>
  <si>
    <t>Net assets at the end of the period</t>
  </si>
  <si>
    <t>December 31,</t>
  </si>
  <si>
    <t>2009</t>
  </si>
  <si>
    <t>Allied Bank Limited</t>
  </si>
  <si>
    <t>Askari Bank Limited</t>
  </si>
  <si>
    <t>Bank Alfalah Limited</t>
  </si>
  <si>
    <t>Bank Al Habib Limited</t>
  </si>
  <si>
    <t>The Bank Of Punjab</t>
  </si>
  <si>
    <t>Faysal Bank Limited</t>
  </si>
  <si>
    <t>Habib Bank Ltd</t>
  </si>
  <si>
    <t>Mcb Bank Limited</t>
  </si>
  <si>
    <t>Meezan Bank Limited</t>
  </si>
  <si>
    <t>National Bank Of Pakistan</t>
  </si>
  <si>
    <t>Nib Bank Limited</t>
  </si>
  <si>
    <t>Soneri Bank Limited</t>
  </si>
  <si>
    <t xml:space="preserve">Silkbank Limited </t>
  </si>
  <si>
    <t>United Bank Limited</t>
  </si>
  <si>
    <t>Commercial Bank</t>
  </si>
  <si>
    <t>Adamjee Insurance Company Limited</t>
  </si>
  <si>
    <t>Efu General Insurance Limited</t>
  </si>
  <si>
    <t>Pakistan Reinsurance Company Limited</t>
  </si>
  <si>
    <t>Insurance</t>
  </si>
  <si>
    <t>Azgard Nine Limited</t>
  </si>
  <si>
    <t>Nishat Mills Limited</t>
  </si>
  <si>
    <t>Textile</t>
  </si>
  <si>
    <t>D. G. Khan Cement Company Limited</t>
  </si>
  <si>
    <t>Fauji Cement Company Limited</t>
  </si>
  <si>
    <t>Lafarge Pakistan Cement Limited</t>
  </si>
  <si>
    <t>Lucky Cement  Limited</t>
  </si>
  <si>
    <t>The Hub Power Company Limited</t>
  </si>
  <si>
    <t xml:space="preserve">Oil &amp; Gas Development Company </t>
  </si>
  <si>
    <t>Received against sale of equity securities</t>
  </si>
  <si>
    <t>NIT - EQUITY MARKET OPPORTUNITY  FUND</t>
  </si>
  <si>
    <t>Note</t>
  </si>
  <si>
    <t>Bank balances</t>
  </si>
  <si>
    <t>Investments</t>
  </si>
  <si>
    <t>Deposit with NCCPL</t>
  </si>
  <si>
    <t>Total assets</t>
  </si>
  <si>
    <t>Payable to National Investment Trust Limited - Management Company</t>
  </si>
  <si>
    <t>Payable to Central Depository Company of Pakistan Limited - Trustee</t>
  </si>
  <si>
    <t>Payable to Securities and Exchange Commission of Pakistan</t>
  </si>
  <si>
    <t>Provision for Taxation</t>
  </si>
  <si>
    <t>Accrued expenses and other liabilities</t>
  </si>
  <si>
    <t>Total liabilities</t>
  </si>
  <si>
    <t>Number of units</t>
  </si>
  <si>
    <t>Number of units in issue</t>
  </si>
  <si>
    <t>Rupees</t>
  </si>
  <si>
    <t>Net asset value per unit</t>
  </si>
  <si>
    <t>For National Investment Trust Limited</t>
  </si>
  <si>
    <t>(Management Company)</t>
  </si>
  <si>
    <t>The income of the Fund is exempt from income tax under clause 99 of Part I of the Second Schedule to the Income Tax Ordinance, 2001, subject to the condition that not less than ninety percent of its accounting income for the year, as reduced by capital gains, whether realised or unrealised, is distributed amongst the unit holders. The Fund intends to distribute such accounting income, if any, for the year ending June 30, 2010 to its unit holders. Accordingly, no tax liability has been recorded in the current period.</t>
  </si>
  <si>
    <t>Employees Old Age Benefit Institution</t>
  </si>
  <si>
    <t xml:space="preserve">             Managing Director                                                          Director                                                          Director</t>
  </si>
  <si>
    <t>Rupees in '000</t>
  </si>
  <si>
    <t>INCOME</t>
  </si>
  <si>
    <t>Profit on bank deposits</t>
  </si>
  <si>
    <t>Total income</t>
  </si>
  <si>
    <t>EXPENSES</t>
  </si>
  <si>
    <t>Settlement and bank charges</t>
  </si>
  <si>
    <t>Total expenses</t>
  </si>
  <si>
    <t>Taxation</t>
  </si>
  <si>
    <t>Net income for the period after taxation</t>
  </si>
  <si>
    <t>Remuneration payable</t>
  </si>
  <si>
    <t>PROVISION FOR TAXATION</t>
  </si>
  <si>
    <t>Capital gain on sale of investments</t>
  </si>
  <si>
    <t>Undistributed income at the beginning of the period</t>
  </si>
  <si>
    <t>Shares of listed companies- Fully paid up ordinary shares of Rs 10 each unless otherwise stated.</t>
  </si>
  <si>
    <t>(Unaudited)</t>
  </si>
  <si>
    <t>Purchases during the period</t>
  </si>
  <si>
    <t>Bonus/ Right issue during the period</t>
  </si>
  <si>
    <t>Sales during the period</t>
  </si>
  <si>
    <t>Appreciation/ (diminution)</t>
  </si>
  <si>
    <t>Investment include share with market value of Rs_____ which have been pledged with National Clearing Compay of Pakistan for guaranteeing settlement of the Fund's traders  in accordance with circular number 11 dated October 23, 2007 issued by the Securities and Exchange Commision of  Pakistan.</t>
  </si>
  <si>
    <t>Fair Value of investments</t>
  </si>
  <si>
    <t>less: Carrrying value of investment</t>
  </si>
  <si>
    <t>Remuneration of the management company</t>
  </si>
  <si>
    <t>Remuneration payable to the management company</t>
  </si>
  <si>
    <t>(Rupees)</t>
  </si>
  <si>
    <t>Less: Carrying value of investments - net of impairment</t>
  </si>
  <si>
    <t xml:space="preserve">(Increase) / decrease in assets </t>
  </si>
  <si>
    <t xml:space="preserve">Figures have been rounded off to the nearest thousand Rupees. </t>
  </si>
  <si>
    <t>S. No</t>
  </si>
  <si>
    <t>Debit</t>
  </si>
  <si>
    <t>Credit</t>
  </si>
  <si>
    <t>Particulars</t>
  </si>
  <si>
    <t>Capital Gain</t>
  </si>
  <si>
    <t>Profit and loss</t>
  </si>
  <si>
    <t>(Due to Brokerage and FED not charged to Capital gain)</t>
  </si>
  <si>
    <t>Adjustments</t>
  </si>
  <si>
    <t>Not adjusted</t>
  </si>
  <si>
    <t>NIT -  EQUITY MARKET OPPORTUNITY FUND</t>
  </si>
  <si>
    <t>FOR THE HALF YEAR ENDED DECEMBER 31, 2009</t>
  </si>
  <si>
    <t>INVESTMENTS - AVAILABLE FOR SALE</t>
  </si>
  <si>
    <t>Balance as at December 31, 2009</t>
  </si>
  <si>
    <t>Percentage in Relation to</t>
  </si>
  <si>
    <t>Name of Investee Company</t>
  </si>
  <si>
    <t>As at September 14, 2009</t>
  </si>
  <si>
    <t>As at December              31, 2009</t>
  </si>
  <si>
    <t>Carrying                 Value</t>
  </si>
  <si>
    <t>Market                   Value</t>
  </si>
  <si>
    <t>Market value as a percentage of net assets</t>
  </si>
  <si>
    <t>Market value as a percentage of total investment</t>
  </si>
  <si>
    <t>Paid up capital of the investee Company</t>
  </si>
  <si>
    <t>ALLIED BANK LIMITED</t>
  </si>
  <si>
    <t>ASKARI COMMERCIAL BANK</t>
  </si>
  <si>
    <t>BANK ALFALAH LIMITED</t>
  </si>
  <si>
    <t>BANK AL HABIB</t>
  </si>
  <si>
    <t>BANK OF PUNJAB</t>
  </si>
  <si>
    <t>At present the Fund has only Class 'B' units that were issued to the initial participants. The Management Company intends to issue Class 'A' units in future.</t>
  </si>
  <si>
    <t>FAYSAL BANK LIMITED</t>
  </si>
  <si>
    <t>HABIB BANK LTD</t>
  </si>
  <si>
    <t>MCB BANK</t>
  </si>
  <si>
    <t>MEEZAN BANK</t>
  </si>
  <si>
    <t>NATIONAL BANK OF PAKISTAN</t>
  </si>
  <si>
    <t>NIB BANK LIMITED</t>
  </si>
  <si>
    <t>SONERI BANK</t>
  </si>
  <si>
    <t>SILKBANK LIMITED (SAUDI PAK)</t>
  </si>
  <si>
    <t>UNITED BANK LTD</t>
  </si>
  <si>
    <t>COMMERCIAL BANK</t>
  </si>
  <si>
    <t>ADAMJEE INSURANCE COMPANY LTD.</t>
  </si>
  <si>
    <t>EFU GENERAL INSURANCE LIMITED</t>
  </si>
  <si>
    <t>PAKISTAN REINSURANCE COMPANY LTD.</t>
  </si>
  <si>
    <t>INSURANCE</t>
  </si>
  <si>
    <t>AZGARD NINE LIMITED</t>
  </si>
  <si>
    <t>NISHAT MILLS LIMITED</t>
  </si>
  <si>
    <t>TEXTILE</t>
  </si>
  <si>
    <t>D. G. KHAN CEMENT COMPANY LIMITED</t>
  </si>
  <si>
    <t>FAUJI CEMENT COMPANY LIMITED</t>
  </si>
  <si>
    <t>LAFARGE PAKISTAN CEMENT LIMITED</t>
  </si>
  <si>
    <t>LUCKY CEMENT  LIMITED</t>
  </si>
  <si>
    <t>MAPLE LEAF CEMENT COMPANY LIMITED</t>
  </si>
  <si>
    <t>CEMENT</t>
  </si>
  <si>
    <t>ATTOCK REFINERY LIMITED</t>
  </si>
  <si>
    <t>BOSICOR PAKISTAN LIMITED</t>
  </si>
  <si>
    <t>NATIONAL REFINERY LIMITED</t>
  </si>
  <si>
    <t>PAKISTAN REFINERY LIMITED</t>
  </si>
  <si>
    <t>REFINERY</t>
  </si>
  <si>
    <t>Redemption of 3,103,501 units</t>
  </si>
  <si>
    <t>Issue of 17,821,401 units</t>
  </si>
  <si>
    <t>Issue of 15,512,662 units</t>
  </si>
  <si>
    <t xml:space="preserve"> 15,512,662 units held</t>
  </si>
  <si>
    <t>investment at the beginning of the period</t>
  </si>
  <si>
    <t>During the period, the management has carried out a scrip wise analysis of the deficit on revaluation of its portfolio of listed equity securities classified as 'available for sale' and has determined that a deficit amounting to Rs. 5.356 million represents a significant decline in the fair value of such equity securities with reference to their cost and accordingly an impairment loss to that extent has been recognised in the income statement.</t>
  </si>
  <si>
    <t>Connected persons include National Investment Trust Limited, Central Depository Company of Pakistan Limited being the Trustee, other collective investment schemes managed by the Management Company, any person or company beneficially owning directly or indirectly ten percent or more of the capital of the Management Company or the Fund and the directors and officers of the Management Company and the Trustee.</t>
  </si>
  <si>
    <t>For the period from September 14, 2009 to March 31, 2010</t>
  </si>
  <si>
    <t>For the Quarter ended March 31, 2010</t>
  </si>
  <si>
    <t xml:space="preserve">CONTINGENCIES AND COMMITMENTS </t>
  </si>
  <si>
    <t>Printing charges</t>
  </si>
  <si>
    <t>For the period from September 14, 2009 to March, 2010</t>
  </si>
  <si>
    <t>Sale of 3,950,000 shares</t>
  </si>
  <si>
    <t>6,829,325 shares held</t>
  </si>
  <si>
    <t>As at March 31, 2010</t>
  </si>
  <si>
    <t>Units in issue as at March 31, 2010  comprise of class B units. The redemption option for these units rests with the Management Company and the unitholders may redeem their units subject to consent of the Management Company.</t>
  </si>
  <si>
    <t>These condensed interim financial statements were authorized for issue on April 12, 2010 by the Board of Directors of the  Management Company.</t>
  </si>
  <si>
    <t>March 31,2010</t>
  </si>
  <si>
    <t>There were no other contingencies and commitments outstanding as at March 31, 2010 except those disclosed in interim financial statements of December 31, 2009.</t>
  </si>
  <si>
    <t>Remuneration to the Management Company and the Trustee is determined in accordance with the provisions of the NBFC Regulations and the Trust Deed.</t>
  </si>
  <si>
    <t xml:space="preserve">      Managing Director                                                          Director                                                          Director</t>
  </si>
  <si>
    <t>Auditors' remuneration</t>
  </si>
  <si>
    <t>Undistributed income comprising:</t>
  </si>
  <si>
    <t>Dividend received</t>
  </si>
  <si>
    <t>Profit received on bank deposits</t>
  </si>
  <si>
    <t xml:space="preserve">             Managing Director                                                        Director                                                        Director</t>
  </si>
  <si>
    <t xml:space="preserve">Pak International Container </t>
  </si>
  <si>
    <t>Terminal Limited</t>
  </si>
  <si>
    <t>Maple Leaf Cement Factory  Limited</t>
  </si>
  <si>
    <t>Cement</t>
  </si>
  <si>
    <t>Class B: These units are issued to unit holders with a firm commitment. The redemption option for these units rests with the Management Company and the unit holders may redeem their units subject to consent of the Management Company.</t>
  </si>
  <si>
    <t>Attock Refinery Limited</t>
  </si>
  <si>
    <t>Bosicor Pakistan Limited</t>
  </si>
  <si>
    <t>National Refinery Limited</t>
  </si>
  <si>
    <t>Pakistan Refinery Limited</t>
  </si>
  <si>
    <t>Refinery</t>
  </si>
  <si>
    <t xml:space="preserve">--------------- (Rupees in '000) --------------- </t>
  </si>
  <si>
    <t xml:space="preserve">----------------------------- Number of shares----------------------------- </t>
  </si>
  <si>
    <t>Market value as a percentage of total investments</t>
  </si>
  <si>
    <t>Contingencies and commitments</t>
  </si>
  <si>
    <t>Other net income for the period</t>
  </si>
  <si>
    <t>Dividend and profit receivable</t>
  </si>
  <si>
    <t>Remuneration of the Trustee</t>
  </si>
  <si>
    <t>OIL &amp; GAS MARKETING</t>
  </si>
  <si>
    <t>Provision for taxation</t>
  </si>
  <si>
    <t>OIL &amp; GAS DEV COMPANY LIMITED</t>
  </si>
  <si>
    <t>PAKISTAN OILFIELDS LIMITED</t>
  </si>
  <si>
    <t>Payable against purchase of investments</t>
  </si>
  <si>
    <t>Provision for Workers' Welfare Fund</t>
  </si>
  <si>
    <t>CONDENSED INTERIM STATEMENT OF MOVEMENT IN UNIT HOLDERS' FUND (UNAUDITED)</t>
  </si>
  <si>
    <t>classified as 'available for sale' - note 4.3</t>
  </si>
  <si>
    <t>CASH FLOWS FROM OPERATING ACTIVITIES</t>
  </si>
  <si>
    <t>Receivable against sale of investments</t>
  </si>
  <si>
    <t>CONDENSED INTERIM CASH FLOW STATEMENT (UNAUDITED)</t>
  </si>
  <si>
    <t>Net cash inflow from operating activities</t>
  </si>
  <si>
    <t>Net increase in cash and cash equivalents during the period</t>
  </si>
  <si>
    <t>National Investment Trust Limited - Management</t>
  </si>
  <si>
    <t>Company</t>
  </si>
  <si>
    <t>Central Depository Company of Pakistan Limited -</t>
  </si>
  <si>
    <t>Trustee</t>
  </si>
  <si>
    <t>Impairment loss on equity securities classified as</t>
  </si>
  <si>
    <t>'available for sale'</t>
  </si>
  <si>
    <t>in prices of units issued less those in units redeemed</t>
  </si>
  <si>
    <t>Remuneration of National Investment Trust Limited -</t>
  </si>
  <si>
    <t>Management Company</t>
  </si>
  <si>
    <t>Payable to Central Depository Company of Pakistan</t>
  </si>
  <si>
    <t>Fee Payable to Securities and Exchange Commission</t>
  </si>
  <si>
    <t xml:space="preserve">of Pakistan </t>
  </si>
  <si>
    <t>Remuneration paid to National Investment Trust Limited -</t>
  </si>
  <si>
    <t>CONDENSED INTERIM DISTRIBUTION STATEMENT (UNAUDITED)</t>
  </si>
  <si>
    <t>- Bonus units</t>
  </si>
  <si>
    <t>Adjustments:</t>
  </si>
  <si>
    <t>WORKERS' WELFARE FUND</t>
  </si>
  <si>
    <t>Unit holders' Fund (as per statement attached)</t>
  </si>
  <si>
    <t>Unrealised gain on letters of rights</t>
  </si>
  <si>
    <t>Managing Director                                                          Director                                                          Director</t>
  </si>
  <si>
    <t>Net cash outflow on financing activities</t>
  </si>
  <si>
    <t>Issue of 3,306,942 bonus units (2010: 1,390,512 bonus units)</t>
  </si>
  <si>
    <t>Income from government securities</t>
  </si>
  <si>
    <t>----------------------------------Rupees in '000----------------------------------</t>
  </si>
  <si>
    <t>Final distribution by issue of bonus shares: Rs 8.00 per unit</t>
  </si>
  <si>
    <t xml:space="preserve">              [2010: Rs 3.00 per unit]</t>
  </si>
  <si>
    <t>(Date of distribution: July 5, 2011)</t>
  </si>
  <si>
    <t>Issue of  Nil units [2010: Nil units]</t>
  </si>
  <si>
    <t xml:space="preserve">Redemption of 5,027,381 units for the half year ended December </t>
  </si>
  <si>
    <t>(2010: Nil units for the half year ended and the quarter ended )</t>
  </si>
  <si>
    <t>31, 2011 and the quarter ended December 31, 2011.</t>
  </si>
  <si>
    <t>The NIT - Equity Market Opportunity Fund (the Fund) was established under a Trust Deed executed between National Investment Trust Limited (NITL) as Management Company and Central Depository Company of Pakistan Limited (CDC) as Trustee. The Fund was approved by the Securities and Exchange Commission of Pakistan (SECP) on March 18, 2009 in accordance with the Non-Banking Finance Companies (Establishment and Regulation) Rules, 2003 (NBFC Rules) and the Trust Deed was executed on April 01, 2009. The units of the Fund have been initially issued at Rs 100 per unit.</t>
  </si>
  <si>
    <t>----------(Rupees in '000)---------</t>
  </si>
  <si>
    <t xml:space="preserve">classified as 'available for sale' </t>
  </si>
  <si>
    <t>Redemption of 1,711,152 units (2010: Nil units)</t>
  </si>
  <si>
    <t>NOTE</t>
  </si>
  <si>
    <t>For the half year ended December 31, 2011</t>
  </si>
  <si>
    <t>Quarter ended September 30, 2011</t>
  </si>
  <si>
    <t>Quarter ended December 31, 2011</t>
  </si>
  <si>
    <t>C=A-B</t>
  </si>
  <si>
    <t>Net (loss)/ income for the period before taxation</t>
  </si>
  <si>
    <t>Element of loss/(income) and capital losses/ (gains) included</t>
  </si>
  <si>
    <t>CONDENSED INTERIM DISTRIBUTION STATEMENT QUARTER WORKING (UNAUDITED)</t>
  </si>
  <si>
    <t xml:space="preserve">Net unrealized appreciation / (diminution) in the fair value of investments </t>
  </si>
  <si>
    <t>Purchase of 250,000 shares [2010: Nil shares]</t>
  </si>
  <si>
    <t>Sale of Nil shares [2010: 1.050,000 shares]</t>
  </si>
  <si>
    <t>RELATED PARTY QUARTER WORKING</t>
  </si>
  <si>
    <t>Market Value</t>
  </si>
  <si>
    <t>Issue Date</t>
  </si>
  <si>
    <t>Agritech Limited</t>
  </si>
  <si>
    <t>International Steels Limited</t>
  </si>
  <si>
    <t>Lucky Cement Limited</t>
  </si>
  <si>
    <t>Thatta Cement Limited</t>
  </si>
  <si>
    <t>Amtex Limited</t>
  </si>
  <si>
    <t>Hub Power Company Limited</t>
  </si>
  <si>
    <t>Engro Corporation Limited</t>
  </si>
  <si>
    <t>Fauji Fertilizer Bin Qasim Limited</t>
  </si>
  <si>
    <t>Market value of investments</t>
  </si>
  <si>
    <t>Legal and Professional charges</t>
  </si>
  <si>
    <t>Net payments made against redemption of units</t>
  </si>
  <si>
    <t xml:space="preserve">Weighted average number of units outstanding </t>
  </si>
  <si>
    <t>Total comprehensive (loss) / income for the period</t>
  </si>
  <si>
    <t>Amounts outstanding as at period / year end</t>
  </si>
  <si>
    <t>Tenor</t>
  </si>
  <si>
    <t>Net Assets</t>
  </si>
  <si>
    <t>Sindh Sales Tax on Management Fee</t>
  </si>
  <si>
    <t>Sales Tax</t>
  </si>
  <si>
    <t>Sindh sales tax on remuneration of Management Company</t>
  </si>
  <si>
    <t>The objective of the Fund is to invest in the equity market when there is an opportunity to invest the funds in a gainful manner and such investment is for the benefit of the Fund based on long term perspective.</t>
  </si>
  <si>
    <t>Corresponding figures have been rearranged and reclassified, wherever necessary, for the purpose of comparison. No significant changes or reclassifications were made in this condensed interim financial information.</t>
  </si>
  <si>
    <t>CORRESPONDING FIGURES</t>
  </si>
  <si>
    <t>The Finance Act 2008 introduced an amendment to the Workers' Welfare Fund Ordinance, 1971 (WWF Ordinance). As a result of this amendment it may be construed that all Collective Investment Schemes / mutual funds (CISs) whose income exceeds Rs. 0.5 million in a tax year, have been brought within the scope of the WWF Ordinance, thus rendering them liable to pay contribution to WWF at the rate of two percent of their accounting or taxable income, whichever is higher. In this regard, a constitutional petition has been filed by certain CISs through their trustees in the Honorable High Court of Sindh (the Court), challenging the applicability of WWF to the CISs, which is pending adjudication.</t>
  </si>
  <si>
    <t>Quarter ended December 31, 2012</t>
  </si>
  <si>
    <t>Redemption of 689,417 units (2011: 1,454,933 units)</t>
  </si>
  <si>
    <t>Redemption of 698,625 units (2011: 1,474,366 units)</t>
  </si>
  <si>
    <t>------------------------------- In Rupees ---------------------------</t>
  </si>
  <si>
    <t>Fatima Fertilizer Company</t>
  </si>
  <si>
    <t>Aisha Steel Milsl Limited</t>
  </si>
  <si>
    <t>Service Industries Ltd</t>
  </si>
  <si>
    <t>Bank Al - Falah Limited</t>
  </si>
  <si>
    <t>Bankislami Pakistan</t>
  </si>
  <si>
    <t>Bank Al - Habib Limited</t>
  </si>
  <si>
    <t>Next Capital Limited</t>
  </si>
  <si>
    <t>Akzo Nobel Pakistan Limited</t>
  </si>
  <si>
    <t>03 Months</t>
  </si>
  <si>
    <t>12 Months</t>
  </si>
  <si>
    <t>For the half year ended December 31, 2012</t>
  </si>
  <si>
    <t>Quarter ended September 30, 2012</t>
  </si>
  <si>
    <t xml:space="preserve">                                   For National Investment Trust Limited</t>
  </si>
  <si>
    <t xml:space="preserve">                                   (Management Company)</t>
  </si>
  <si>
    <t xml:space="preserve">              Managing Director                                                   Director                                                         Director</t>
  </si>
  <si>
    <t xml:space="preserve">                           For National Investment Trust Limited</t>
  </si>
  <si>
    <t xml:space="preserve">                           (Management Company)</t>
  </si>
  <si>
    <t xml:space="preserve">               Managing Director                                                   Director                                                         Director</t>
  </si>
  <si>
    <t xml:space="preserve">          Managing Director                                                        Director                                                        Director</t>
  </si>
  <si>
    <t>Issue of 693,940 bonus units [2011: 957,035 bonus units]</t>
  </si>
  <si>
    <t>Issue of 816,146 bonus units (2011: 1,125,573 bonus units)</t>
  </si>
  <si>
    <t>Issue of 969,818 bonus units (2011: 969,818 bonus units)</t>
  </si>
  <si>
    <t>Element of income / (loss) and capital gains / (losses) included in prices</t>
  </si>
  <si>
    <t xml:space="preserve">Sindh Sales Tax on remuneration of Management Company </t>
  </si>
  <si>
    <t>Net cash generated from operating activities</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</si>
  <si>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</si>
  <si>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 xml:space="preserve">Less: Net unrealised appreciation in fair value of </t>
  </si>
  <si>
    <t xml:space="preserve">This represents provision for taxation acquired by the Fund upon transfer of assets held under trust by NITL on behalf of the participants of the proposed NIT - Equity Market Opportunity Fund. The total provision transferred amounted to Rs 43.101 million out of which Rs 0.705 million and Rs. 36.275 million has been paid against tax liability for the tax year 2012 and 2011 respectively. </t>
  </si>
  <si>
    <t>Remuneration of the Management Company</t>
  </si>
  <si>
    <t xml:space="preserve">Remuneration </t>
  </si>
  <si>
    <t>Net cash used in financing activities</t>
  </si>
  <si>
    <t>Government securities - Market Treasury Bills</t>
  </si>
  <si>
    <t>Market Treasury Bills</t>
  </si>
  <si>
    <t>Net unrealised appreciation in fair value of investments</t>
  </si>
  <si>
    <t xml:space="preserve">             investments at the beginning of the period / year</t>
  </si>
  <si>
    <t>The income of the Fund is exempt from income tax under Clause 99 of Part I of the Second Schedule to the Income Tax Ordinance, 2001 if not less than 90 percent of its accounting income for the year, as reduced by capital gains, whether realised or unrealised, is distributed amongst the unit holders. The Fund has not recorded provision for taxation as the management company intends to distribute at least 90 percent of the Fund's accounting income for the current period as reduced by capital gains (whether realised or unrealised) to its unit holders.</t>
  </si>
  <si>
    <t>Carrying Value</t>
  </si>
  <si>
    <t>Net unrealised appreciation during the period / year</t>
  </si>
  <si>
    <t>Net income after taxation</t>
  </si>
  <si>
    <t xml:space="preserve">           of units issued less those in units redeemed - net</t>
  </si>
  <si>
    <t>Attock Refinery Limited.</t>
  </si>
  <si>
    <t>Mari Petroleum Company Limited</t>
  </si>
  <si>
    <t>Oil &amp; Gas Development Company</t>
  </si>
  <si>
    <t>Pakistan State Oil Co. Limited</t>
  </si>
  <si>
    <t>Engro Fertilizer Limited</t>
  </si>
  <si>
    <t>I.C.I Pakistan Limited</t>
  </si>
  <si>
    <t>Lotte Chemical Pakistan</t>
  </si>
  <si>
    <t>Crescent Steel And Allied Proudcts Limited.</t>
  </si>
  <si>
    <t>D. G. Khan Cement Co. Limited</t>
  </si>
  <si>
    <t>Cherat Cement Company Limited</t>
  </si>
  <si>
    <t>Kohat Cement Limited</t>
  </si>
  <si>
    <t>Millat Tractors Ltd.</t>
  </si>
  <si>
    <t>Pak Suzuki Motor Co. Limited</t>
  </si>
  <si>
    <t>Nishat (Chunian) Limited.</t>
  </si>
  <si>
    <t>Pakistan Telecommunication Company</t>
  </si>
  <si>
    <t>LALPIR POWER LIMITED</t>
  </si>
  <si>
    <t>Kot Addu Power Co.Limited</t>
  </si>
  <si>
    <t>Sui Southern Gas Co. Limited</t>
  </si>
  <si>
    <t>Adamjee Insurance Co. Limited</t>
  </si>
  <si>
    <t>Jahangir Siddiqui &amp; Co.</t>
  </si>
  <si>
    <t>#</t>
  </si>
  <si>
    <t>Name of Investtee Company</t>
  </si>
  <si>
    <t>Sector Name</t>
  </si>
  <si>
    <t>Sale              during the period</t>
  </si>
  <si>
    <t>ATTOCK PETROLEUM LTD</t>
  </si>
  <si>
    <t>ATTOCK REFINERY LTD.</t>
  </si>
  <si>
    <t>MARI PETROLEUM COMPANY LIMITED</t>
  </si>
  <si>
    <t>NATIONAL REFINERY LTD.</t>
  </si>
  <si>
    <t>OIL &amp; GAS DEVELOPMENT CO.</t>
  </si>
  <si>
    <t>PAKISTAN OILFIELDS LTD.</t>
  </si>
  <si>
    <t>PAKISTAN PETROLEUM LTD.</t>
  </si>
  <si>
    <t>PAKISTAN REFINERY LTD.</t>
  </si>
  <si>
    <t>PAKISTAN STATE OIL CO. LTD.</t>
  </si>
  <si>
    <t>AGRITECH LIMITED</t>
  </si>
  <si>
    <t>ENGRO CORPORATION LTD.</t>
  </si>
  <si>
    <t>ENGRO FERTILIZER LIMITED</t>
  </si>
  <si>
    <t>FAUJI FERTILIZER BIN QASIM LTD.</t>
  </si>
  <si>
    <t>FAUJI FERTILIZER COMPANY LIMITED.</t>
  </si>
  <si>
    <t>FATIMA FERTILIZER COMPANY</t>
  </si>
  <si>
    <t>I.C.I PAKISTAN LTD.</t>
  </si>
  <si>
    <t>AKZO NOBLE PAKISTAN LIMITED</t>
  </si>
  <si>
    <t>LOTTE CHEMICAL PAKISTAN</t>
  </si>
  <si>
    <t>AISHA STEEL MILLS LIMITED</t>
  </si>
  <si>
    <t>CRESCENT STEEL AND ALLIED PROUDCTS LTD.</t>
  </si>
  <si>
    <t>INTERNATIONAL STEELS LIMITED</t>
  </si>
  <si>
    <t>D. G. KHAN CEMENT CO. LIMITED</t>
  </si>
  <si>
    <t>CHERAT CEMENT COMPANY LIMITED</t>
  </si>
  <si>
    <t>FAUJI CEMENT COMPANY LTD.</t>
  </si>
  <si>
    <t>KOHAT CEMENT LIMITED</t>
  </si>
  <si>
    <t>LUCKY CEMENT LIMITED</t>
  </si>
  <si>
    <t>THATTA CEMENT LIMITED</t>
  </si>
  <si>
    <t>MILLAT TRACTORS LTD.</t>
  </si>
  <si>
    <t>PAK SUZUKI MOTOR CO. LTD.</t>
  </si>
  <si>
    <t>AMTEX LIMITED</t>
  </si>
  <si>
    <t>NISHAT (CHUNIAN) LIMITED.</t>
  </si>
  <si>
    <t>NISHAT MILLS LTD.</t>
  </si>
  <si>
    <t>SERVICE INDUSTRIES LTD</t>
  </si>
  <si>
    <t>PAKISTAN TELECOMMUNICATION COMPANY</t>
  </si>
  <si>
    <t>KOT ADDU POWER CO.LTD.</t>
  </si>
  <si>
    <t>SUI NORTHERN GAS PIPELINES LTD.</t>
  </si>
  <si>
    <t>SUI SOUTHERN GAS CO. LTD.</t>
  </si>
  <si>
    <t>ASKARI BANK LIMITED</t>
  </si>
  <si>
    <t>BANKISLAMI PAKISTAN</t>
  </si>
  <si>
    <t>BANK ALHABIB LIMITED</t>
  </si>
  <si>
    <t>HABIB BANK LIMITED</t>
  </si>
  <si>
    <t>MCB BANK LIMITED</t>
  </si>
  <si>
    <t>UNITED BANK LIMITED</t>
  </si>
  <si>
    <t>ADAMJEE INSURANCE CO. LTD.</t>
  </si>
  <si>
    <t>JAHANGIR SIDDIQUI &amp; CO.</t>
  </si>
  <si>
    <t>MCB-ARIF HABIB SAVING INVESTMENTS LTD.</t>
  </si>
  <si>
    <t>NEXT CAPITAL LIMITED</t>
  </si>
  <si>
    <t>Grand Total</t>
  </si>
  <si>
    <t>Face value</t>
  </si>
  <si>
    <t xml:space="preserve">Market Value as a Percentage of Net Assets </t>
  </si>
  <si>
    <t>Market Value as a Percentage of Investments</t>
  </si>
  <si>
    <t>Purchases During the Period</t>
  </si>
  <si>
    <t>Sales/ Matured During the Period</t>
  </si>
  <si>
    <t>Appreciation / (Diminution)</t>
  </si>
  <si>
    <t>2014</t>
  </si>
  <si>
    <t>DIVIDEND &amp; PROFIT RECEIVABLE</t>
  </si>
  <si>
    <t>Dividend Receivable</t>
  </si>
  <si>
    <t>ACCRUED EXPENSES &amp; OTHER LIABILITIES</t>
  </si>
  <si>
    <t>Payable to National Clearing Company of Pakistan Limited</t>
  </si>
  <si>
    <t>Others</t>
  </si>
  <si>
    <t>Remuneration of National Investment Trust Limited - Management Company</t>
  </si>
  <si>
    <t>Federal Excise Duty on Management Company Remunaration</t>
  </si>
  <si>
    <t>Remuneration of Central Depository Company of Pakistan Limited - Trustee</t>
  </si>
  <si>
    <t>Annual fee - Securities and  Exchange Commission of Pakistan</t>
  </si>
  <si>
    <t>Custodian charges of Central Depository Company of Pakistan Limited</t>
  </si>
  <si>
    <t>Net income from operating activities</t>
  </si>
  <si>
    <t>Element of (loss) and capital (losses) included in prices</t>
  </si>
  <si>
    <t>Net income for the period before taxation</t>
  </si>
  <si>
    <r>
      <t xml:space="preserve">Earnings per unit-basic and diluted                            </t>
    </r>
    <r>
      <rPr>
        <b/>
        <i/>
        <sz val="8"/>
        <rFont val="Arial"/>
        <family val="2"/>
      </rPr>
      <t>Rupees</t>
    </r>
  </si>
  <si>
    <t xml:space="preserve">Other comprehensive income </t>
  </si>
  <si>
    <t xml:space="preserve">             Realised income</t>
  </si>
  <si>
    <t>Details of transactions with connected persons are as follows:</t>
  </si>
  <si>
    <t>Issue of 1,467,392 bonus units [2013: 693,940 bonus units]</t>
  </si>
  <si>
    <t>Issue of 1,486,992 bonus units (2013: 969,818 bonus units)</t>
  </si>
  <si>
    <t>Issue of 1,816,637 bonus units (2013: 816,146 bonus units)</t>
  </si>
  <si>
    <t>Subsequent to the year ended June 30, 2011, a clarification was issued by the Ministry of Labour and Manpower (the Ministry) which stated that mutual funds are not liable to contribute to WWF on the basis of their income. However, on December 14, 2010, the Ministry filed its response against the constitutional petition requesting the Court to dismiss the petition. According to the legal counsel who is handling the case there is a contradiction between the aforementioned clarification issued by the Ministry and the response filed by the Ministry in Court.</t>
  </si>
  <si>
    <t>Redemption of 2,461,725 units (2013: 1,621,651 units)</t>
  </si>
  <si>
    <t>Redemption of 3,727,791 units (2013: 2,026,013 units)</t>
  </si>
  <si>
    <t>Redemption of 3,678,657 units (2013: 1,999,308 units)</t>
  </si>
  <si>
    <t xml:space="preserve">Earnings per unit-basic and diluted                            </t>
  </si>
  <si>
    <t xml:space="preserve">Payable to Securities and Exchange Commission of Pakistan </t>
  </si>
  <si>
    <t>Brokerage</t>
  </si>
  <si>
    <t>Advance Tax</t>
  </si>
  <si>
    <t>September 30, 2015</t>
  </si>
  <si>
    <t>June 30, 
2015</t>
  </si>
  <si>
    <t>AS AT SEPTEMBER 30, 2015</t>
  </si>
  <si>
    <t>-----------September 30-----------</t>
  </si>
  <si>
    <t>2015</t>
  </si>
  <si>
    <t>-----------(Unaudited)------------</t>
  </si>
  <si>
    <t>----------Rupees in '000---------</t>
  </si>
  <si>
    <t>Gain on sale of investments-net</t>
  </si>
  <si>
    <t>Sindh Sales Tax on remuneration of Trustee</t>
  </si>
  <si>
    <t>------------------September 30--------------------</t>
  </si>
  <si>
    <t>------------------(Unaudited)-------------------</t>
  </si>
  <si>
    <t>-------------------Rupees in '000-------------------</t>
  </si>
  <si>
    <t>Undistributed income / (Accumulated Loss) at the beginning of the period</t>
  </si>
  <si>
    <t>Security transaction costs</t>
  </si>
  <si>
    <t>Redemption of units: Nil (2014: Nil )</t>
  </si>
  <si>
    <t xml:space="preserve">Issue of  Nil units: Nil (2014: Nil ) </t>
  </si>
  <si>
    <t>2.1.1</t>
  </si>
  <si>
    <t>This condensed interim financial information is being submitted to the unit holders as required under regulation 38(g) of the Non-Banking Finance Companies and Notified Entities Regulations, 2008 (NBFC Regulations).</t>
  </si>
  <si>
    <t>.</t>
  </si>
  <si>
    <t>2.1.2</t>
  </si>
  <si>
    <t>The disclosures made in these condensed interim financial statements have, however, been limited based on the requirements of the International Accounting Standard 34: "Interim Financial Reporting".</t>
  </si>
  <si>
    <t>2.1.3</t>
  </si>
  <si>
    <t>These condensed interim financial statements have been prepared using the same accounting policies which were applied in the preparation of the annual financial statements of the Fund for the year ended June 30,2015.</t>
  </si>
  <si>
    <t>At fair value through profit or loss- held for trading</t>
  </si>
  <si>
    <t>Listed equity securities</t>
  </si>
  <si>
    <t>September 30,2015</t>
  </si>
  <si>
    <t>June 30, 2015</t>
  </si>
  <si>
    <t>Net unrealised diminution on re-measurement of investments</t>
  </si>
  <si>
    <t xml:space="preserve">classified as financial assets at 'fair value through profit and loss' </t>
  </si>
  <si>
    <t>------------September 30------------</t>
  </si>
  <si>
    <t>------------(Unaudited)------------</t>
  </si>
  <si>
    <t>---------Rupees in '000----------</t>
  </si>
  <si>
    <t>Federal Excise Duty</t>
  </si>
  <si>
    <t>Payable against bonus shares</t>
  </si>
  <si>
    <t>---------Rupees per unit-------</t>
  </si>
  <si>
    <t>---------------(Unaudited)---------------</t>
  </si>
  <si>
    <t>Advance against subscription of shares</t>
  </si>
  <si>
    <t>Dividend and profit Receivables</t>
  </si>
  <si>
    <t>As per requirement of Finance Act, 2013, Federal Excise Duty (FED) at the rate of 16% on the remunaration of the Management Company has been applied effective 13 June 2013. The Management Company is of view that since the remunaration is already subject to provincial sales tax, further levy of FED may result in double taxation, which does not appear to be the spirit of the law. The matter has been taken up collectively by the mutual Fund Association of Pakistan where various options are being considered. The High court of SIndh in its order dated 09 September 2013 granted stay to the various funds for the recovery of FED. As a matter of abundant caution, the Management Company has made a provision with effect from 13 June 2013, aggregating to Rs. 58.486 million. Had the provision not been made, the net assets value (NAV) per unit of the Fund as at 30 September 2015 whould have been higher by Rs.1.49 per unit.</t>
  </si>
  <si>
    <t xml:space="preserve">The details of significant transactions carried out by the Fund with connected persons and balances with them at the period end are as follows: </t>
  </si>
  <si>
    <t xml:space="preserve">Management Remuneration payable </t>
  </si>
  <si>
    <t xml:space="preserve">Sindh Tax payable </t>
  </si>
  <si>
    <t>10,179,666 units held ( June 30, 2015: 10,179,666 units)</t>
  </si>
  <si>
    <t>10,045,493 units held (June 30, 2015: 10,045,493 units)</t>
  </si>
  <si>
    <t>14,631,007 units held ( June 30, 2015: 14,631,007 units)</t>
  </si>
  <si>
    <t>National Insurance Company Limited</t>
  </si>
  <si>
    <t>4,324,703 units held ( June 30, 2015: 4,324,703 units)</t>
  </si>
  <si>
    <t>FOR THE QUARTER ENDED SEPTEMBER 30, 2015</t>
  </si>
  <si>
    <t xml:space="preserve">                                                                            (Management Company)</t>
  </si>
  <si>
    <t xml:space="preserve">                                                                 For National Investment Trust Limited</t>
  </si>
  <si>
    <t xml:space="preserve">CONDENSED INTERIM STATEMENT OF COMPREHENSIVE INCOME </t>
  </si>
  <si>
    <t xml:space="preserve">                                                      For National Investment Trust Limited</t>
  </si>
  <si>
    <t xml:space="preserve">                                                       (Management Company)</t>
  </si>
  <si>
    <t xml:space="preserve">                                 Managing Director                                                    Director                                                 Director</t>
  </si>
  <si>
    <t>Pakistan Credit Rating Agency Limited (PACRA) has assigned "1-star" rating based on the performance during the twelve months ended June 30, 2015 and "1-star" and "1-star" long term rating based on the performance during the thirty six months and sixty months ended June 30, 2015 respectively. PACRA has maintained an asset manager rating of "AM2" to the Management Company.</t>
  </si>
  <si>
    <t>Title to the assets of the Fund are held in the name of Central Depository Company of Pakistan Limited as trustee of the Fund.</t>
  </si>
  <si>
    <t>Profit Receivable on saving accounts</t>
  </si>
  <si>
    <t>This condensed interim financial information was authorised for issue on October 22, 2015 by the Board of Directors of the Management Company.</t>
  </si>
  <si>
    <t>EARNINGS  PER UNIT- BASIC AND DILUTED</t>
  </si>
  <si>
    <t>There were no contingencies and commitments outstanding as at September 30, 2015 and June 30, 2015.</t>
  </si>
  <si>
    <t>ANNEXURE - 1</t>
  </si>
  <si>
    <t>Invetment - at fair value through profit or loss  - held for trading</t>
  </si>
  <si>
    <t>Sector Code</t>
  </si>
  <si>
    <t>Name of Investee Companies</t>
  </si>
  <si>
    <t>As at 01 July 2015</t>
  </si>
  <si>
    <t>Bonus shares received during the period</t>
  </si>
  <si>
    <t>Right shares purchased/ subscribed during the period</t>
  </si>
  <si>
    <t>Market Value as a percentage of investment</t>
  </si>
  <si>
    <t>Percentage of paid-up capital of the investee company held</t>
  </si>
  <si>
    <t>-------------------------------------------------------(Numberr of Shares---------------------------------------</t>
  </si>
  <si>
    <t>--------Rupees in '000------------</t>
  </si>
  <si>
    <t>------------------%---------------------</t>
  </si>
  <si>
    <t>COMMERCIAL BANKS Total</t>
  </si>
  <si>
    <t>CEMENT Total</t>
  </si>
  <si>
    <t>POWER GENERATION &amp; DISTRIBUTION Total</t>
  </si>
  <si>
    <t>OIL &amp; GAS EXPLORATION COMPANIES Total</t>
  </si>
  <si>
    <t>FERTILIZER Total</t>
  </si>
  <si>
    <t>AS AT September 30, 2015</t>
  </si>
  <si>
    <t>As at September 30, 2015</t>
  </si>
  <si>
    <t>Cost/ Carrying value ast at September 30, 2015</t>
  </si>
  <si>
    <t>Market Value as at September 30, 2015</t>
  </si>
  <si>
    <t>COMMERCIAL BANKS</t>
  </si>
  <si>
    <t>Fauji Cement Company Ltd.</t>
  </si>
  <si>
    <t>POWER GENERATION &amp; DISTRIBUTION</t>
  </si>
  <si>
    <t>OIL &amp; GAS EXPLORATION COMPANIES</t>
  </si>
  <si>
    <t>FERTILIZER</t>
  </si>
  <si>
    <t>Fauji Fertilizer Bin Qasim Ltd.</t>
  </si>
  <si>
    <t>Fauji Fertilizer Company Limited.</t>
  </si>
  <si>
    <t>ANNEXURE - 2</t>
  </si>
  <si>
    <t>Investment - available for sale - other than government securities</t>
  </si>
  <si>
    <t>Cod</t>
  </si>
  <si>
    <t>Imparment</t>
  </si>
  <si>
    <t>%</t>
  </si>
  <si>
    <t>Remarks</t>
  </si>
  <si>
    <t>--------------------------------------------------------------(Numberr of Shares-------------------------------------------------</t>
  </si>
  <si>
    <t>------------Rupees in '000--------------</t>
  </si>
  <si>
    <t>---------------------%----------------------------</t>
  </si>
  <si>
    <t>LEASING COMPANIES Total</t>
  </si>
  <si>
    <t>JAHANGIR SIDDIQUI &amp; CO RIGHT</t>
  </si>
  <si>
    <t>Jahangir Siddiqui &amp; Co. Right</t>
  </si>
  <si>
    <t>MCB-Arif Habib Saving Investments Ltd.</t>
  </si>
  <si>
    <t>INV. BANKS / INV. COS. / SECURITIES COS Total</t>
  </si>
  <si>
    <t>Already Impaired</t>
  </si>
  <si>
    <t>HABIB METROPOLITAN BANK LTD.</t>
  </si>
  <si>
    <t>Habib Metroplitan Bank</t>
  </si>
  <si>
    <t>SONERI BANK LIMITED</t>
  </si>
  <si>
    <t>INSURANCES Total</t>
  </si>
  <si>
    <t>TEXTILE SPINING Total</t>
  </si>
  <si>
    <t>TEXTILE COMPOSITE Total</t>
  </si>
  <si>
    <t>PAKISTAN CEMENT LIMITED.</t>
  </si>
  <si>
    <t>Pakistan Cement Limited</t>
  </si>
  <si>
    <t>REFINERY Total</t>
  </si>
  <si>
    <t>Lalpir Power Limited</t>
  </si>
  <si>
    <t>OIL &amp; GAS MARKETING COMPANIES Total</t>
  </si>
  <si>
    <t>CRESENT STEEL ALLIED PRODUCT RIGHT</t>
  </si>
  <si>
    <t>Crescent Steel &amp; Allied Producent Limited - Right</t>
  </si>
  <si>
    <t>ENGINEERING Total</t>
  </si>
  <si>
    <t>AUTOMOBILE ASSEMBLER</t>
  </si>
  <si>
    <t>AUTOMOBILE ASSEMBLER Total</t>
  </si>
  <si>
    <t>AUTOMOBILE PARTS &amp; ACCESSORIES</t>
  </si>
  <si>
    <t>GENERAL TYRE AND RUBBER CO. OF PAK. LTD.</t>
  </si>
  <si>
    <t>General Tyre &amp; Rubber Com.of Pak.</t>
  </si>
  <si>
    <t>SIEMENS PAKISTAN ENGINEERING CO. LTD.</t>
  </si>
  <si>
    <t>CABLE &amp; ELECTRIC GOODS</t>
  </si>
  <si>
    <t>ARCHROMA PAKISTAN</t>
  </si>
  <si>
    <t xml:space="preserve">Archroma Pakistan </t>
  </si>
  <si>
    <t>CHEMICAL Total</t>
  </si>
  <si>
    <t>PAPER &amp; BOARD Total</t>
  </si>
  <si>
    <t>BATA PAKISTAN LTD.</t>
  </si>
  <si>
    <t>LEATHER &amp; TANNERIES</t>
  </si>
  <si>
    <t>Bata pakistan Limited</t>
  </si>
  <si>
    <t>LEATHER &amp; TANNERIES Total</t>
  </si>
  <si>
    <t>SYNTHETIC PRODUCT ENTERPRISE LIMITED</t>
  </si>
  <si>
    <t>Synthetic Product Enterprise Limited</t>
  </si>
  <si>
    <t>MISCELLANEOUS Total</t>
  </si>
  <si>
    <t>Market Value Equity-AFS</t>
  </si>
  <si>
    <t>Market Value Money HFT</t>
  </si>
  <si>
    <t>Market Value Money Mkt</t>
  </si>
  <si>
    <t>LEASING COMPANIES</t>
  </si>
  <si>
    <t>INV. BANKS / INV. COS. / SECURITIES COS</t>
  </si>
  <si>
    <t>INSURANCES</t>
  </si>
  <si>
    <t>TEXTILE SPINING</t>
  </si>
  <si>
    <t>TEXTILE COMPOSITE</t>
  </si>
  <si>
    <t>OIL &amp; GAS MARKETING COMPANIES</t>
  </si>
  <si>
    <t>ENGINEERING</t>
  </si>
  <si>
    <t>Siemens Pakistan Engineering Co. Ltd.</t>
  </si>
  <si>
    <t>MISCELLANEOUS</t>
  </si>
  <si>
    <t>6.1.1 Listed equity shares/units of mutual funds</t>
  </si>
  <si>
    <t xml:space="preserve">3.2 Available for sale </t>
  </si>
  <si>
    <t>--------------------------------Rupees in '000------------------------------</t>
  </si>
  <si>
    <t>06 Months</t>
  </si>
  <si>
    <t xml:space="preserve">4,325,731 shares held ( June 30, 2015: 4,575,731 shares) </t>
  </si>
  <si>
    <t>3.1- Invetment - at fair value through profit or loss  - held for trading</t>
  </si>
  <si>
    <t>3.2- Available for sale</t>
  </si>
  <si>
    <t>3.3 Government Securities</t>
  </si>
  <si>
    <t>Finance Act 2015 has introduced an amendment to the worker's welfare fund ordinance, 1971 (WWF Ordinance) which removes the mutual funds or collective Investment schemes including National Investment (unit) Trust or REIT scheme from the scope of WWF.</t>
  </si>
  <si>
    <t>During the year ended June 30, 2012, the Honorable Lahore High Court (LHC) in a Constitutional Petition relating to the amendments brought in the WWF Ordinance, 1971 through the Finance Act, 2006, and the Finance Act, 2008, had declared the said amendments as unlawful and unconstitutional. In March 2013, a larger bench of the Sindh High Court (SHC) passed an order declaring that the amendments introduced in the WWF Ordinance, 1971 through the Finance Act 2006 and 2008 respectively do not suffer from any constitutional or legal infirmity. However, the Honourable High Court of Sindh has not addressed the other amendments made in the WWF Ordinance 1971 about applicability of WWF to the CISs which is still pending before the Court. Without prejudice to the above, the Management Company, as a matter of abundant caution, has decided to retain the provision for WWF amounting to Rs 61.528 million as at June 30, 2015 in these financial statements. Had the same not been made the net asset value per unit of the Fund would have been higher by Rs 1.57 per unit.</t>
  </si>
  <si>
    <t>Finance Act 2014 has introduced tax on bonus shares issued by the Companies. Most Equity Funds including NIT - EMOF have challenged the applicability of witholding tax provision on bonus shares before Honorable High Court of Sindh ("the Court")  on various legal grounds and have sought relief from the Court. The Court, in its order dated 25 November 2014, has granted interim relief by passing the restraining order whereby the Defendants, (issuers of the Bonus shares) have refrained from deducting and /or transfering 5% withholding tax on Bonus shares issued by them.</t>
  </si>
  <si>
    <t>As an abundant caution, the Fund has made payment which is equivalent to 5% value of the bonus shares , determined on the basis of day-end price on the first day of book closure. The payment has been recorded as part of cost of respective investment. Detail is as follows:</t>
  </si>
  <si>
    <t xml:space="preserve">5% (No. of Bonus 
shares) </t>
  </si>
  <si>
    <t xml:space="preserve">Market value
as on 
30 September
2015
</t>
  </si>
  <si>
    <t>Payment made
to the 
investee
companies</t>
  </si>
  <si>
    <t>Faysal Bank Limited *</t>
  </si>
  <si>
    <t>Mari Petoleum Company Limited **</t>
  </si>
  <si>
    <t>*Faysal Bank Limited and Shezan International Limited have released the above mentioned bonus shares and have retained the payments.</t>
  </si>
  <si>
    <t xml:space="preserve">**Mari Petroleum Company Limited have returned the payments on 14 January 2015 and have not released the shares due to court order and recorded as liability </t>
  </si>
  <si>
    <t>Investments include shares with market value of Rs 1,249.015 million (June 30, 2015: 1,364.280 million) which have been pledged with National Clearing Company of Pakistan for guaranteeing settlement of the Fund's trades  in accordance with Circular no 11 dated October 23, 2007 issued by the Securities and Exchange Commission of Pakistan.</t>
  </si>
  <si>
    <t>Balance September 30, 2015</t>
  </si>
  <si>
    <t xml:space="preserve">        as' financial assets at fair value through profit or loss'</t>
  </si>
  <si>
    <t>Net unrealized (diminution) / appreciation on re-measurement of investments classified</t>
  </si>
  <si>
    <t xml:space="preserve">Net unrealised (dimunition)/ appreciation on remeasurement of </t>
  </si>
  <si>
    <t>investments classified as 'available for sale'</t>
  </si>
  <si>
    <t>Total comprehensive (loss) / income  for the period</t>
  </si>
  <si>
    <t xml:space="preserve">             Unrealised (loss) / income</t>
  </si>
  <si>
    <t>Net unrealised appreciation / (diminution) on re-measurement of investments</t>
  </si>
  <si>
    <t xml:space="preserve">      classified as 'available for sale ' </t>
  </si>
  <si>
    <t>During the period the management has carried out a scrip wise analysis of the deficit on revaluation of its portfolio of listed equity securities classified as 'available for sale' and has determined that an amount of Rs. 7.137 million (September 30, 2014:  19.955 million) represents a significant decline in the fair value of such equity securities with reference to their cost and accordingly an impairment loss to that extent has been recognised in the condensed interim income statement.</t>
  </si>
  <si>
    <t xml:space="preserve">     [Rs. 209.94 per unit (2014: Rs. 192.24 per unit)]</t>
  </si>
  <si>
    <t xml:space="preserve">     [Rs. 191.83 per unit (2014: Rs. 191.95 per unit)]</t>
  </si>
  <si>
    <t>% of Net Assets</t>
  </si>
  <si>
    <t>As at July 01, 2015</t>
  </si>
  <si>
    <t>Sale/ Matured During the Period</t>
  </si>
  <si>
    <t xml:space="preserve">                                                                    For National Investment Trust Limited</t>
  </si>
  <si>
    <t xml:space="preserve">                                                                                (Management Company)</t>
  </si>
  <si>
    <t xml:space="preserve">   Managing Director                                                           Director                                                                     Director</t>
  </si>
  <si>
    <t>The annexed notes 1 to 12 form an integral part of this condensed interim financial information.</t>
  </si>
  <si>
    <t>Impairment loss on equity securities classified as 'available for sale'</t>
  </si>
  <si>
    <t>CONDENSED INTERIM INCOME STATEMENT (UNAUDITED)</t>
  </si>
  <si>
    <t xml:space="preserve">              '-sd-                                                                             -sd-                                                                   -sd-</t>
  </si>
  <si>
    <t xml:space="preserve">           '-sd-                                                                            -sd-                                                                -sd-</t>
  </si>
  <si>
    <t xml:space="preserve">                                         '-sd-                                                                        -sd-                                                       -sd-</t>
  </si>
  <si>
    <t xml:space="preserve">                    '-sd-                                                                         -sd-                                                                -sd-</t>
  </si>
  <si>
    <t xml:space="preserve">                     '-sd-                                                                        -sd-                                                                  -sd-</t>
  </si>
  <si>
    <t xml:space="preserve">                  '-sd-                                                                             -sd-                                                              -sd-</t>
  </si>
  <si>
    <t xml:space="preserve">               '-sd-                                                                         -sd-                                                                               -sd-</t>
  </si>
  <si>
    <t>NOTES TO AND FORMING PART OF THE CONDENSED INTERIM FINANCIAL INFORMATION (UNAUDITED)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</si>
</sst>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 _P_t_s_-;\-* #,##0\ _P_t_s_-;_-* &quot;-&quot;\ _P_t_s_-;_-@_-"/>
    <numFmt numFmtId="168" formatCode="_-* #,##0.00\ _P_t_s_-;\-* #,##0.00\ _P_t_s_-;_-* &quot;-&quot;??\ _P_t_s_-;_-@_-"/>
    <numFmt numFmtId="169" formatCode="_(* #,##0.000_);_(* \(#,##0.000\);_(* &quot;-&quot;??_);_(@_)"/>
    <numFmt numFmtId="170" formatCode="0.0"/>
    <numFmt numFmtId="171" formatCode="_([$€-2]* #,##0.00_);_([$€-2]* \(#,##0.00\);_([$€-2]* &quot;-&quot;??_)"/>
    <numFmt numFmtId="172" formatCode="_-* #,##0\ _F_-;\-* #,##0\ _F_-;_-* &quot;-&quot;\ _F_-;_-@_-"/>
    <numFmt numFmtId="173" formatCode="_-* #,##0.00\ _F_-;\-* #,##0.00\ _F_-;_-* &quot;-&quot;??\ _F_-;_-@_-"/>
    <numFmt numFmtId="174" formatCode="\I\n\t\i\a\l\ \c\a\p"/>
    <numFmt numFmtId="175" formatCode="#,##0.000"/>
    <numFmt numFmtId="176" formatCode="\£\ #,##0_);[Red]\(\£\ #,##0\)"/>
    <numFmt numFmtId="177" formatCode="\¥\ #,##0_);[Red]\(\¥\ #,##0\)"/>
    <numFmt numFmtId="178" formatCode="\•\ \ @"/>
    <numFmt numFmtId="179" formatCode="#,##0.00&quot; $&quot;;[Red]\-#,##0.00&quot; $&quot;"/>
    <numFmt numFmtId="180" formatCode="General_)"/>
    <numFmt numFmtId="181" formatCode="\ \ _•\–\ \ \ \ @"/>
    <numFmt numFmtId="182" formatCode="&quot;$&quot;##,##0_);[Red]\(&quot;$&quot;#,##0\)"/>
    <numFmt numFmtId="183" formatCode="[&gt;1]\ &quot;Pk of &quot;\ #;[=1]\ &quot;Each&quot;;\ 0.000\ &quot; km&quot;"/>
    <numFmt numFmtId="184" formatCode="#,##0.00;[Red]\(#,##0.00\)"/>
    <numFmt numFmtId="185" formatCode="mm/dd/yy"/>
    <numFmt numFmtId="186" formatCode="_ * #,##0.00_ ;_ * \-#,##0.00_ ;_ * &quot;-&quot;??_ ;_ @_ "/>
    <numFmt numFmtId="187" formatCode="_ * #,##0_ ;_ * \-#,##0_ ;_ * &quot;-&quot;_ ;_ @_ "/>
    <numFmt numFmtId="188" formatCode="_(* #,##0.0_);_(* \(#,##0.0\);_(* &quot;-&quot;??_);_(@_)"/>
    <numFmt numFmtId="189" formatCode="_-* #,##0_-;\-* #,##0_-;_-* &quot;-&quot;??_-;_-@_-"/>
    <numFmt numFmtId="190" formatCode="_-&quot;$&quot;* #,##0_-;\-&quot;$&quot;* #,##0_-;_-&quot;$&quot;* &quot;-&quot;_-;_-@_-"/>
    <numFmt numFmtId="191" formatCode="_-&quot;$&quot;* #,##0.00_-;\-&quot;$&quot;* #,##0.00_-;_-&quot;$&quot;* &quot;-&quot;??_-;_-@_-"/>
    <numFmt numFmtId="192" formatCode="_(* #,##0.00000000000_);_(* \(#,##0.00000000000\);_(* &quot;-&quot;??_);_(@_)"/>
    <numFmt numFmtId="193" formatCode="0.00_);\(0.00\)"/>
    <numFmt numFmtId="194" formatCode="#,##0_);\(#,##0\);_(* &quot;-&quot;?_);_(@_)"/>
    <numFmt numFmtId="195" formatCode="0.0%"/>
    <numFmt numFmtId="196" formatCode="_(* #,##0.0_);_(* \(#,##0.0\);_(* &quot;-&quot;?_);@_)"/>
    <numFmt numFmtId="197" formatCode="_ * #,##0.00_)&quot;F&quot;_ ;_ * \(#,##0.00\)&quot;F&quot;_ ;_ * &quot;-&quot;??_)&quot;F&quot;_ ;_ @_ "/>
    <numFmt numFmtId="198" formatCode="00000"/>
    <numFmt numFmtId="199" formatCode="[$-409]mmmm\ d\,\ yyyy;@"/>
    <numFmt numFmtId="200" formatCode="#,##0_);\(#,##0\);_(* &quot;-&quot;_);_(@_)"/>
  </numFmts>
  <fonts count="116">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0"/>
      <name val="Helv"/>
      <charset val="204"/>
    </font>
    <font>
      <sz val="12"/>
      <name val="Times New Roman"/>
      <family val="1"/>
    </font>
    <font>
      <sz val="11"/>
      <color indexed="8"/>
      <name val="Calibri"/>
      <family val="2"/>
    </font>
    <font>
      <sz val="11"/>
      <color indexed="9"/>
      <name val="Calibri"/>
      <family val="2"/>
    </font>
    <font>
      <sz val="10"/>
      <name val="ＭＳ Ｐゴシック"/>
      <family val="3"/>
      <charset val="128"/>
    </font>
    <font>
      <sz val="11"/>
      <color indexed="20"/>
      <name val="Calibri"/>
      <family val="2"/>
    </font>
    <font>
      <sz val="12"/>
      <name val="Tms Rmn"/>
      <charset val="178"/>
    </font>
    <font>
      <b/>
      <sz val="12"/>
      <name val="Times New Roman"/>
      <family val="1"/>
    </font>
    <font>
      <b/>
      <sz val="11"/>
      <color indexed="52"/>
      <name val="Calibri"/>
      <family val="2"/>
    </font>
    <font>
      <b/>
      <sz val="11"/>
      <color indexed="9"/>
      <name val="Calibri"/>
      <family val="2"/>
    </font>
    <font>
      <sz val="12"/>
      <name val="Helv"/>
    </font>
    <font>
      <sz val="12"/>
      <name val="Times New Roman"/>
      <family val="1"/>
    </font>
    <font>
      <b/>
      <sz val="11"/>
      <name val="Times New Roman"/>
      <family val="1"/>
    </font>
    <font>
      <b/>
      <sz val="9"/>
      <color indexed="12"/>
      <name val="Arial"/>
      <family val="2"/>
    </font>
    <font>
      <sz val="10"/>
      <name val="MS Serif"/>
      <family val="1"/>
    </font>
    <font>
      <i/>
      <sz val="9"/>
      <color indexed="8"/>
      <name val="Arial"/>
      <family val="2"/>
    </font>
    <font>
      <sz val="10"/>
      <name val="Times New Roman"/>
      <family val="1"/>
    </font>
    <font>
      <sz val="10"/>
      <color indexed="16"/>
      <name val="MS Serif"/>
      <family val="1"/>
    </font>
    <font>
      <i/>
      <sz val="11"/>
      <color indexed="23"/>
      <name val="Calibri"/>
      <family val="2"/>
    </font>
    <font>
      <b/>
      <sz val="9"/>
      <color indexed="20"/>
      <name val="Arial"/>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9"/>
      <name val="Times New Roman"/>
      <family val="1"/>
    </font>
    <font>
      <sz val="11"/>
      <color indexed="52"/>
      <name val="Calibri"/>
      <family val="2"/>
    </font>
    <font>
      <sz val="11"/>
      <color indexed="60"/>
      <name val="Calibri"/>
      <family val="2"/>
    </font>
    <font>
      <sz val="11"/>
      <name val="Times New Roman"/>
      <family val="1"/>
    </font>
    <font>
      <sz val="8"/>
      <color indexed="18"/>
      <name val="Arial"/>
      <family val="2"/>
    </font>
    <font>
      <b/>
      <sz val="11"/>
      <color indexed="63"/>
      <name val="Calibri"/>
      <family val="2"/>
    </font>
    <font>
      <sz val="10"/>
      <color indexed="8"/>
      <name val="Arial"/>
      <family val="2"/>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sz val="10"/>
      <name val="MS Sans Serif"/>
      <family val="2"/>
    </font>
    <font>
      <sz val="8"/>
      <name val="Helv"/>
      <charset val="178"/>
    </font>
    <font>
      <b/>
      <sz val="12"/>
      <color indexed="8"/>
      <name val="Barclays Serif"/>
      <family val="2"/>
    </font>
    <font>
      <b/>
      <sz val="12"/>
      <name val="Albertus Medium"/>
      <family val="2"/>
    </font>
    <font>
      <b/>
      <sz val="10"/>
      <name val="Times New Roman"/>
      <family val="1"/>
    </font>
    <font>
      <b/>
      <sz val="8"/>
      <color indexed="8"/>
      <name val="Helv"/>
      <charset val="178"/>
    </font>
    <font>
      <b/>
      <sz val="18"/>
      <color indexed="56"/>
      <name val="Cambria"/>
      <family val="2"/>
    </font>
    <font>
      <b/>
      <sz val="11"/>
      <color indexed="8"/>
      <name val="Calibri"/>
      <family val="2"/>
    </font>
    <font>
      <sz val="9"/>
      <name val="Arial"/>
      <family val="2"/>
    </font>
    <font>
      <sz val="11"/>
      <color indexed="10"/>
      <name val="Calibri"/>
      <family val="2"/>
    </font>
    <font>
      <b/>
      <sz val="9"/>
      <name val="Arial"/>
      <family val="2"/>
    </font>
    <font>
      <b/>
      <sz val="9"/>
      <color indexed="10"/>
      <name val="Arial"/>
      <family val="2"/>
    </font>
    <font>
      <sz val="9"/>
      <color indexed="10"/>
      <name val="Arial"/>
      <family val="2"/>
    </font>
    <font>
      <sz val="9"/>
      <color indexed="9"/>
      <name val="Arial"/>
      <family val="2"/>
    </font>
    <font>
      <b/>
      <sz val="9"/>
      <color indexed="9"/>
      <name val="Arial"/>
      <family val="2"/>
    </font>
    <font>
      <b/>
      <sz val="10"/>
      <name val="Arial"/>
      <family val="2"/>
    </font>
    <font>
      <sz val="8"/>
      <name val="Arial"/>
      <family val="2"/>
    </font>
    <font>
      <sz val="10"/>
      <name val="CG Omega"/>
      <family val="2"/>
    </font>
    <font>
      <sz val="8"/>
      <name val="Times New Roman"/>
      <family val="1"/>
    </font>
    <font>
      <sz val="10"/>
      <name val="Times New Roman"/>
      <family val="1"/>
    </font>
    <font>
      <sz val="8"/>
      <name val="Times New Roman"/>
      <family val="1"/>
    </font>
    <font>
      <b/>
      <u/>
      <sz val="9"/>
      <name val="Arial"/>
      <family val="2"/>
    </font>
    <font>
      <sz val="9"/>
      <color indexed="8"/>
      <name val="Arial"/>
      <family val="2"/>
    </font>
    <font>
      <b/>
      <sz val="9"/>
      <color indexed="8"/>
      <name val="Arial"/>
      <family val="2"/>
    </font>
    <font>
      <sz val="6.5"/>
      <name val="Times New Roman"/>
      <family val="1"/>
    </font>
    <font>
      <b/>
      <sz val="6.5"/>
      <name val="Arial Narrow"/>
      <family val="2"/>
    </font>
    <font>
      <sz val="6.5"/>
      <name val="Arial Narrow"/>
      <family val="2"/>
    </font>
    <font>
      <sz val="6.5"/>
      <color indexed="8"/>
      <name val="Arial Narrow"/>
      <family val="2"/>
    </font>
    <font>
      <b/>
      <sz val="6.5"/>
      <color indexed="8"/>
      <name val="Arial Narrow"/>
      <family val="2"/>
    </font>
    <font>
      <b/>
      <u/>
      <sz val="12"/>
      <name val="Times New Roman"/>
      <family val="1"/>
    </font>
    <font>
      <b/>
      <sz val="8"/>
      <name val="Arial"/>
      <family val="2"/>
    </font>
    <font>
      <b/>
      <sz val="8"/>
      <color indexed="8"/>
      <name val="Arial"/>
      <family val="2"/>
    </font>
    <font>
      <sz val="8"/>
      <color indexed="8"/>
      <name val="Arial"/>
      <family val="2"/>
    </font>
    <font>
      <sz val="6.5"/>
      <color indexed="9"/>
      <name val="Arial Narrow"/>
      <family val="2"/>
    </font>
    <font>
      <sz val="10"/>
      <name val="Arial"/>
      <family val="2"/>
    </font>
    <font>
      <sz val="12"/>
      <name val="Times New Roman"/>
      <family val="1"/>
    </font>
    <font>
      <sz val="8"/>
      <color indexed="10"/>
      <name val="Arial"/>
      <family val="2"/>
    </font>
    <font>
      <b/>
      <sz val="7"/>
      <name val="Arial"/>
      <family val="2"/>
    </font>
    <font>
      <sz val="7"/>
      <name val="Arial"/>
      <family val="2"/>
    </font>
    <font>
      <b/>
      <sz val="7"/>
      <color indexed="9"/>
      <name val="Arial"/>
      <family val="2"/>
    </font>
    <font>
      <b/>
      <sz val="8"/>
      <color indexed="24"/>
      <name val="Arial"/>
      <family val="2"/>
    </font>
    <font>
      <b/>
      <sz val="9"/>
      <color indexed="24"/>
      <name val="Arial"/>
      <family val="2"/>
    </font>
    <font>
      <b/>
      <sz val="11"/>
      <color indexed="24"/>
      <name val="Arial"/>
      <family val="2"/>
    </font>
    <font>
      <sz val="11"/>
      <color theme="1"/>
      <name val="Calibri"/>
      <family val="2"/>
      <scheme val="minor"/>
    </font>
    <font>
      <sz val="12"/>
      <name val="Times New Roman"/>
      <family val="1"/>
    </font>
    <font>
      <b/>
      <sz val="8"/>
      <color indexed="9"/>
      <name val="Arial"/>
      <family val="2"/>
    </font>
    <font>
      <b/>
      <sz val="10"/>
      <color indexed="8"/>
      <name val="Calibri"/>
      <family val="2"/>
    </font>
    <font>
      <b/>
      <sz val="11"/>
      <color theme="1"/>
      <name val="Calibri"/>
      <family val="2"/>
      <scheme val="minor"/>
    </font>
    <font>
      <b/>
      <sz val="14"/>
      <color indexed="8"/>
      <name val="Calibri"/>
      <family val="2"/>
    </font>
    <font>
      <sz val="10"/>
      <color indexed="8"/>
      <name val="Calibri"/>
      <family val="2"/>
    </font>
    <font>
      <b/>
      <sz val="12"/>
      <name val="Arial Narrow"/>
      <family val="2"/>
    </font>
    <font>
      <sz val="12"/>
      <name val="Arial Narrow"/>
      <family val="2"/>
    </font>
    <font>
      <sz val="10"/>
      <name val="HelmetCondensed"/>
    </font>
    <font>
      <b/>
      <i/>
      <sz val="8"/>
      <name val="Arial"/>
      <family val="2"/>
    </font>
    <font>
      <sz val="7.5"/>
      <name val="Arial"/>
      <family val="2"/>
    </font>
    <font>
      <sz val="11"/>
      <name val="Garamond"/>
      <family val="1"/>
    </font>
    <font>
      <b/>
      <sz val="11"/>
      <name val="Garamond"/>
      <family val="1"/>
    </font>
    <font>
      <b/>
      <i/>
      <sz val="11"/>
      <name val="Garamond"/>
      <family val="1"/>
    </font>
    <font>
      <b/>
      <i/>
      <sz val="9"/>
      <name val="Arial"/>
      <family val="2"/>
    </font>
    <font>
      <sz val="12"/>
      <color theme="1"/>
      <name val="Garamond"/>
      <family val="1"/>
    </font>
    <font>
      <b/>
      <sz val="12"/>
      <color indexed="8"/>
      <name val="Garamond"/>
      <family val="1"/>
    </font>
    <font>
      <b/>
      <sz val="9"/>
      <color indexed="8"/>
      <name val="Garamond"/>
      <family val="1"/>
    </font>
    <font>
      <sz val="10"/>
      <color theme="1"/>
      <name val="Calibri"/>
      <family val="2"/>
      <scheme val="minor"/>
    </font>
    <font>
      <sz val="12"/>
      <color theme="0"/>
      <name val="Arial Narrow"/>
      <family val="2"/>
    </font>
    <font>
      <sz val="11"/>
      <color theme="0"/>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theme="4"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792">
    <xf numFmtId="0" fontId="0" fillId="0" borderId="0">
      <alignment vertical="top"/>
    </xf>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8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6" fontId="10" fillId="0" borderId="0" applyFont="0" applyFill="0" applyBorder="0" applyAlignment="0" applyProtection="0"/>
    <xf numFmtId="177" fontId="10" fillId="0" borderId="0" applyFont="0" applyFill="0" applyBorder="0" applyAlignment="0" applyProtection="0"/>
    <xf numFmtId="0" fontId="8" fillId="0" borderId="0"/>
    <xf numFmtId="0" fontId="7" fillId="0" borderId="0"/>
    <xf numFmtId="0" fontId="7" fillId="0" borderId="0"/>
    <xf numFmtId="0" fontId="7" fillId="0" borderId="0"/>
    <xf numFmtId="0" fontId="7" fillId="0" borderId="0"/>
    <xf numFmtId="0" fontId="11" fillId="2" borderId="0" applyNumberFormat="0" applyBorder="0" applyAlignment="0" applyProtection="0"/>
    <xf numFmtId="0" fontId="11"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1"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1"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1"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1"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1"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1"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185" fontId="13" fillId="0" borderId="1" applyFont="0" applyFill="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43" fontId="7" fillId="0" borderId="0" applyFont="0" applyFill="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5" fillId="0" borderId="0" applyNumberFormat="0" applyFill="0" applyBorder="0" applyAlignment="0" applyProtection="0"/>
    <xf numFmtId="0" fontId="16" fillId="0" borderId="2" applyNumberFormat="0" applyFill="0" applyAlignment="0" applyProtection="0"/>
    <xf numFmtId="49" fontId="91" fillId="0" borderId="0" applyFont="0" applyFill="0" applyBorder="0" applyAlignment="0" applyProtection="0">
      <alignment horizontal="left"/>
    </xf>
    <xf numFmtId="196" fontId="59" fillId="0" borderId="0" applyAlignment="0" applyProtection="0"/>
    <xf numFmtId="195" fontId="30" fillId="0" borderId="0" applyFill="0" applyBorder="0" applyAlignment="0" applyProtection="0"/>
    <xf numFmtId="49" fontId="30" fillId="0" borderId="0" applyNumberFormat="0" applyAlignment="0" applyProtection="0">
      <alignment horizontal="left"/>
    </xf>
    <xf numFmtId="49" fontId="92" fillId="0" borderId="3" applyNumberFormat="0" applyAlignment="0" applyProtection="0">
      <alignment horizontal="left" wrapText="1"/>
    </xf>
    <xf numFmtId="49" fontId="92" fillId="0" borderId="0" applyNumberFormat="0" applyAlignment="0" applyProtection="0">
      <alignment horizontal="left" wrapText="1"/>
    </xf>
    <xf numFmtId="49" fontId="93" fillId="0" borderId="0" applyAlignment="0" applyProtection="0">
      <alignment horizontal="left"/>
    </xf>
    <xf numFmtId="178" fontId="10" fillId="0" borderId="0" applyFont="0" applyFill="0" applyBorder="0" applyAlignment="0" applyProtection="0"/>
    <xf numFmtId="179" fontId="8" fillId="0" borderId="0" applyFill="0" applyBorder="0" applyAlignment="0"/>
    <xf numFmtId="179" fontId="7" fillId="0" borderId="0" applyFill="0" applyBorder="0" applyAlignment="0"/>
    <xf numFmtId="179" fontId="7" fillId="0" borderId="0" applyFill="0" applyBorder="0" applyAlignment="0"/>
    <xf numFmtId="179" fontId="7" fillId="0" borderId="0" applyFill="0" applyBorder="0" applyAlignment="0"/>
    <xf numFmtId="197" fontId="30" fillId="0" borderId="0" applyFill="0" applyBorder="0" applyAlignment="0"/>
    <xf numFmtId="0" fontId="17" fillId="20" borderId="4" applyNumberFormat="0" applyAlignment="0" applyProtection="0"/>
    <xf numFmtId="0" fontId="17" fillId="20" borderId="4" applyNumberFormat="0" applyAlignment="0" applyProtection="0"/>
    <xf numFmtId="0" fontId="17" fillId="20" borderId="4" applyNumberFormat="0" applyAlignment="0" applyProtection="0"/>
    <xf numFmtId="0" fontId="17" fillId="20" borderId="4" applyNumberFormat="0" applyAlignment="0" applyProtection="0"/>
    <xf numFmtId="0" fontId="18" fillId="21" borderId="5" applyNumberFormat="0" applyAlignment="0" applyProtection="0"/>
    <xf numFmtId="0" fontId="18" fillId="21" borderId="5" applyNumberFormat="0" applyAlignment="0" applyProtection="0"/>
    <xf numFmtId="0" fontId="18" fillId="21" borderId="5" applyNumberFormat="0" applyAlignment="0" applyProtection="0"/>
    <xf numFmtId="0" fontId="18" fillId="21" borderId="5" applyNumberFormat="0" applyAlignment="0" applyProtection="0"/>
    <xf numFmtId="43" fontId="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94"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0" fontId="42" fillId="0" borderId="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6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68" fillId="0" borderId="0" applyFont="0" applyFill="0" applyBorder="0" applyAlignment="0" applyProtection="0"/>
    <xf numFmtId="166" fontId="68" fillId="0" borderId="0" applyFont="0" applyFill="0" applyBorder="0" applyAlignment="0" applyProtection="0"/>
    <xf numFmtId="165" fontId="68"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7" fillId="0" borderId="0" applyFont="0" applyFill="0" applyBorder="0" applyAlignment="0" applyProtection="0"/>
    <xf numFmtId="180" fontId="21" fillId="0" borderId="0" applyFill="0" applyBorder="0">
      <alignment horizontal="left"/>
    </xf>
    <xf numFmtId="0" fontId="22" fillId="22" borderId="0" applyFill="0" applyBorder="0"/>
    <xf numFmtId="0" fontId="23" fillId="0" borderId="0" applyNumberFormat="0" applyAlignment="0">
      <alignment horizontal="left"/>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1" fontId="10" fillId="0" borderId="0" applyFont="0" applyFill="0" applyBorder="0" applyAlignment="0" applyProtection="0"/>
    <xf numFmtId="0" fontId="24" fillId="22" borderId="0"/>
    <xf numFmtId="175" fontId="25" fillId="0" borderId="0"/>
    <xf numFmtId="0" fontId="26" fillId="0" borderId="0" applyNumberFormat="0" applyAlignment="0">
      <alignment horizontal="left"/>
    </xf>
    <xf numFmtId="171" fontId="8"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Fill="0" applyAlignment="0"/>
    <xf numFmtId="0" fontId="8" fillId="0" borderId="0"/>
    <xf numFmtId="0" fontId="7" fillId="0" borderId="0"/>
    <xf numFmtId="0" fontId="7" fillId="0" borderId="0"/>
    <xf numFmtId="0" fontId="7" fillId="0" borderId="0"/>
    <xf numFmtId="0" fontId="7" fillId="0" borderId="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38" fontId="30" fillId="22" borderId="0" applyNumberFormat="0" applyBorder="0" applyAlignment="0" applyProtection="0"/>
    <xf numFmtId="0" fontId="31" fillId="0" borderId="6" applyNumberFormat="0" applyAlignment="0" applyProtection="0">
      <alignment horizontal="left" vertical="center"/>
    </xf>
    <xf numFmtId="0" fontId="31" fillId="0" borderId="7">
      <alignment horizontal="left" vertical="center"/>
    </xf>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3" fillId="0" borderId="9"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7" borderId="4" applyNumberFormat="0" applyAlignment="0" applyProtection="0"/>
    <xf numFmtId="10" fontId="30" fillId="23" borderId="1" applyNumberFormat="0" applyBorder="0" applyAlignment="0" applyProtection="0"/>
    <xf numFmtId="0" fontId="35" fillId="7" borderId="4" applyNumberFormat="0" applyAlignment="0" applyProtection="0"/>
    <xf numFmtId="0" fontId="35" fillId="7" borderId="4" applyNumberFormat="0" applyAlignment="0" applyProtection="0"/>
    <xf numFmtId="0" fontId="35" fillId="7" borderId="4" applyNumberFormat="0" applyAlignment="0" applyProtection="0"/>
    <xf numFmtId="0" fontId="19" fillId="0" borderId="0" applyBorder="0"/>
    <xf numFmtId="182" fontId="8" fillId="0" borderId="0"/>
    <xf numFmtId="182" fontId="7" fillId="0" borderId="0"/>
    <xf numFmtId="182" fontId="7" fillId="0" borderId="0"/>
    <xf numFmtId="182" fontId="7" fillId="0" borderId="0"/>
    <xf numFmtId="182" fontId="7" fillId="0" borderId="0"/>
    <xf numFmtId="174" fontId="36" fillId="0" borderId="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167" fontId="8" fillId="0" borderId="0" applyFont="0" applyFill="0" applyBorder="0" applyAlignment="0" applyProtection="0"/>
    <xf numFmtId="168"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183" fontId="25" fillId="0" borderId="0" applyFill="0" applyBorder="0">
      <alignment horizontal="center" vertical="top"/>
    </xf>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1" fillId="25" borderId="12">
      <alignment vertical="center"/>
    </xf>
    <xf numFmtId="0" fontId="8" fillId="0" borderId="0"/>
    <xf numFmtId="0" fontId="7" fillId="0" borderId="0"/>
    <xf numFmtId="0" fontId="7" fillId="0" borderId="0"/>
    <xf numFmtId="0" fontId="7" fillId="0" borderId="0"/>
    <xf numFmtId="0" fontId="7" fillId="0" borderId="0"/>
    <xf numFmtId="0" fontId="10" fillId="0" borderId="0">
      <alignment vertical="top"/>
    </xf>
    <xf numFmtId="0" fontId="10" fillId="0" borderId="0">
      <alignment vertical="top"/>
    </xf>
    <xf numFmtId="0" fontId="10" fillId="0" borderId="0">
      <alignment vertical="top"/>
    </xf>
    <xf numFmtId="0" fontId="7" fillId="0" borderId="0"/>
    <xf numFmtId="0" fontId="10" fillId="0" borderId="0">
      <alignment vertical="top"/>
    </xf>
    <xf numFmtId="0" fontId="10" fillId="0" borderId="0"/>
    <xf numFmtId="0" fontId="94" fillId="0" borderId="0"/>
    <xf numFmtId="0" fontId="8" fillId="0" borderId="0"/>
    <xf numFmtId="0" fontId="7" fillId="0" borderId="0"/>
    <xf numFmtId="0" fontId="7" fillId="0" borderId="0"/>
    <xf numFmtId="0" fontId="7" fillId="0" borderId="0"/>
    <xf numFmtId="0" fontId="8" fillId="0" borderId="0">
      <alignment vertical="top"/>
    </xf>
    <xf numFmtId="0" fontId="7" fillId="0" borderId="0">
      <alignment vertical="top"/>
    </xf>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8"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xf numFmtId="0" fontId="7" fillId="0" borderId="0"/>
    <xf numFmtId="0" fontId="7" fillId="0" borderId="0"/>
    <xf numFmtId="0" fontId="7" fillId="0" borderId="0"/>
    <xf numFmtId="0" fontId="39" fillId="0" borderId="0"/>
    <xf numFmtId="0" fontId="20" fillId="0" borderId="0"/>
    <xf numFmtId="0" fontId="10" fillId="0" borderId="0"/>
    <xf numFmtId="0" fontId="10" fillId="0" borderId="0"/>
    <xf numFmtId="0" fontId="10" fillId="0" borderId="0"/>
    <xf numFmtId="0" fontId="10" fillId="0" borderId="0"/>
    <xf numFmtId="0" fontId="7"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7" fillId="0" borderId="0"/>
    <xf numFmtId="0" fontId="2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1" fillId="0" borderId="0"/>
    <xf numFmtId="0" fontId="6" fillId="0" borderId="0"/>
    <xf numFmtId="0" fontId="6" fillId="0" borderId="0"/>
    <xf numFmtId="0" fontId="6" fillId="0" borderId="0"/>
    <xf numFmtId="0" fontId="6" fillId="0" borderId="0"/>
    <xf numFmtId="0" fontId="8"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11" fillId="0" borderId="0"/>
    <xf numFmtId="0" fontId="6" fillId="0" borderId="0"/>
    <xf numFmtId="0" fontId="20" fillId="0" borderId="0"/>
    <xf numFmtId="0" fontId="10" fillId="0" borderId="0"/>
    <xf numFmtId="0" fontId="10" fillId="0" borderId="0"/>
    <xf numFmtId="0" fontId="10" fillId="0" borderId="0"/>
    <xf numFmtId="0" fontId="86" fillId="0" borderId="0"/>
    <xf numFmtId="0" fontId="25" fillId="0" borderId="0"/>
    <xf numFmtId="0" fontId="70" fillId="0" borderId="0"/>
    <xf numFmtId="0" fontId="10" fillId="0" borderId="0"/>
    <xf numFmtId="0" fontId="8" fillId="0" borderId="0"/>
    <xf numFmtId="0" fontId="7" fillId="0" borderId="0"/>
    <xf numFmtId="0" fontId="85" fillId="0" borderId="0"/>
    <xf numFmtId="0" fontId="7" fillId="0" borderId="0"/>
    <xf numFmtId="0" fontId="11" fillId="26" borderId="13" applyNumberFormat="0" applyFont="0" applyAlignment="0" applyProtection="0"/>
    <xf numFmtId="0" fontId="11"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11"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6" fillId="26" borderId="13" applyNumberFormat="0" applyFont="0" applyAlignment="0" applyProtection="0"/>
    <xf numFmtId="0" fontId="40" fillId="0" borderId="0">
      <alignment wrapText="1"/>
    </xf>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184" fontId="42" fillId="27" borderId="0">
      <alignment horizontal="right"/>
    </xf>
    <xf numFmtId="40" fontId="43" fillId="25" borderId="0">
      <alignment horizontal="right"/>
    </xf>
    <xf numFmtId="40" fontId="43" fillId="25" borderId="0">
      <alignment horizontal="right"/>
    </xf>
    <xf numFmtId="0" fontId="44" fillId="28" borderId="0">
      <alignment horizontal="center"/>
    </xf>
    <xf numFmtId="0" fontId="45" fillId="25" borderId="0">
      <alignment horizontal="right"/>
    </xf>
    <xf numFmtId="0" fontId="45" fillId="25" borderId="0">
      <alignment horizontal="right"/>
    </xf>
    <xf numFmtId="0" fontId="46" fillId="29" borderId="15"/>
    <xf numFmtId="0" fontId="47" fillId="25" borderId="15"/>
    <xf numFmtId="0" fontId="47" fillId="25" borderId="15"/>
    <xf numFmtId="0" fontId="48" fillId="27" borderId="0" applyBorder="0">
      <alignment horizontal="centerContinuous"/>
    </xf>
    <xf numFmtId="0" fontId="47" fillId="0" borderId="0" applyBorder="0">
      <alignment horizontal="centerContinuous"/>
    </xf>
    <xf numFmtId="0" fontId="47" fillId="0" borderId="0" applyBorder="0">
      <alignment horizontal="centerContinuous"/>
    </xf>
    <xf numFmtId="0" fontId="49" fillId="29" borderId="0" applyBorder="0">
      <alignment horizontal="centerContinuous"/>
    </xf>
    <xf numFmtId="0" fontId="50" fillId="0" borderId="0" applyBorder="0">
      <alignment horizontal="centerContinuous"/>
    </xf>
    <xf numFmtId="0" fontId="50" fillId="0" borderId="0" applyBorder="0">
      <alignment horizontal="centerContinuous"/>
    </xf>
    <xf numFmtId="9" fontId="7" fillId="0" borderId="0" applyFont="0" applyFill="0" applyBorder="0" applyAlignment="0" applyProtection="0"/>
    <xf numFmtId="10" fontId="8"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94"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51" fillId="0" borderId="0" applyNumberFormat="0" applyFont="0" applyFill="0" applyBorder="0" applyAlignment="0" applyProtection="0">
      <alignment horizontal="left"/>
    </xf>
    <xf numFmtId="185" fontId="52" fillId="0" borderId="0" applyNumberFormat="0" applyFill="0" applyBorder="0" applyAlignment="0" applyProtection="0">
      <alignment horizontal="left"/>
    </xf>
    <xf numFmtId="0" fontId="8" fillId="0" borderId="0"/>
    <xf numFmtId="4" fontId="53" fillId="0" borderId="16" applyNumberFormat="0" applyProtection="0">
      <alignment horizontal="right" vertical="center"/>
    </xf>
    <xf numFmtId="0" fontId="8" fillId="0" borderId="0"/>
    <xf numFmtId="0" fontId="7" fillId="0" borderId="0"/>
    <xf numFmtId="0" fontId="7" fillId="0" borderId="0"/>
    <xf numFmtId="0" fontId="7" fillId="0" borderId="0"/>
    <xf numFmtId="0" fontId="7" fillId="0" borderId="0"/>
    <xf numFmtId="0" fontId="54" fillId="0" borderId="0">
      <alignment horizontal="left" vertical="center"/>
    </xf>
    <xf numFmtId="0" fontId="55" fillId="0" borderId="0" applyNumberFormat="0" applyFill="0" applyBorder="0" applyProtection="0">
      <alignment vertical="center"/>
    </xf>
    <xf numFmtId="40" fontId="56" fillId="0" borderId="0" applyBorder="0">
      <alignment horizontal="right"/>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164" fontId="8" fillId="0" borderId="0" applyFont="0" applyFill="0" applyBorder="0" applyAlignment="0" applyProtection="0"/>
    <xf numFmtId="165" fontId="8" fillId="0" borderId="0" applyFont="0" applyFill="0" applyBorder="0" applyAlignment="0" applyProtection="0"/>
    <xf numFmtId="0" fontId="59" fillId="22" borderId="0" applyFont="0" applyFill="0">
      <alignment horizontal="center"/>
    </xf>
    <xf numFmtId="190" fontId="8" fillId="0" borderId="0" applyFont="0" applyFill="0" applyBorder="0" applyAlignment="0" applyProtection="0"/>
    <xf numFmtId="191"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86" fontId="8" fillId="0" borderId="0" applyFont="0" applyFill="0" applyBorder="0" applyAlignment="0" applyProtection="0"/>
    <xf numFmtId="187" fontId="8" fillId="0" borderId="0" applyFont="0" applyFill="0" applyBorder="0" applyAlignment="0" applyProtection="0"/>
    <xf numFmtId="0" fontId="8" fillId="0" borderId="0"/>
    <xf numFmtId="44" fontId="8" fillId="0" borderId="0" applyFont="0" applyFill="0" applyBorder="0" applyAlignment="0" applyProtection="0"/>
    <xf numFmtId="42" fontId="8" fillId="0" borderId="0" applyFont="0" applyFill="0" applyBorder="0" applyAlignment="0" applyProtection="0"/>
    <xf numFmtId="0" fontId="9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39" fillId="0" borderId="0">
      <alignment vertical="top"/>
      <protection locked="0"/>
    </xf>
    <xf numFmtId="43" fontId="2" fillId="0" borderId="0" applyFont="0" applyFill="0" applyBorder="0" applyAlignment="0" applyProtection="0"/>
    <xf numFmtId="0" fontId="2" fillId="0" borderId="0"/>
    <xf numFmtId="9" fontId="2" fillId="0" borderId="0" applyFont="0" applyFill="0" applyBorder="0" applyAlignment="0" applyProtection="0"/>
    <xf numFmtId="0" fontId="1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0" fillId="0" borderId="0"/>
    <xf numFmtId="49" fontId="7" fillId="0" borderId="0" applyNumberFormat="0" applyFont="0" applyFill="0" applyBorder="0" applyAlignment="0" applyProtection="0"/>
  </cellStyleXfs>
  <cellXfs count="964">
    <xf numFmtId="0" fontId="0" fillId="0" borderId="0" xfId="0" applyAlignment="1"/>
    <xf numFmtId="0" fontId="61" fillId="0" borderId="0" xfId="626" applyFont="1" applyFill="1" applyAlignment="1"/>
    <xf numFmtId="0" fontId="62" fillId="0" borderId="0" xfId="626" applyFont="1" applyFill="1" applyAlignment="1"/>
    <xf numFmtId="0" fontId="59" fillId="0" borderId="0" xfId="626" applyFont="1" applyFill="1"/>
    <xf numFmtId="0" fontId="61" fillId="0" borderId="0" xfId="639" applyFont="1" applyFill="1" applyAlignment="1"/>
    <xf numFmtId="0" fontId="59" fillId="0" borderId="0" xfId="639" applyFont="1" applyFill="1"/>
    <xf numFmtId="0" fontId="63" fillId="0" borderId="0" xfId="626" applyFont="1" applyFill="1"/>
    <xf numFmtId="0" fontId="61" fillId="0" borderId="0" xfId="626" applyNumberFormat="1" applyFont="1" applyFill="1"/>
    <xf numFmtId="0" fontId="61" fillId="0" borderId="0" xfId="626" applyFont="1" applyFill="1"/>
    <xf numFmtId="166" fontId="61" fillId="0" borderId="0" xfId="360" applyNumberFormat="1" applyFont="1" applyFill="1" applyAlignment="1"/>
    <xf numFmtId="0" fontId="59" fillId="0" borderId="0" xfId="626" applyFont="1" applyFill="1" applyAlignment="1">
      <alignment horizontal="left"/>
    </xf>
    <xf numFmtId="0" fontId="59" fillId="0" borderId="0" xfId="626" applyFont="1" applyFill="1" applyAlignment="1">
      <alignment horizontal="center"/>
    </xf>
    <xf numFmtId="166" fontId="59" fillId="0" borderId="18" xfId="360" applyNumberFormat="1" applyFont="1" applyFill="1" applyBorder="1"/>
    <xf numFmtId="166" fontId="59" fillId="0" borderId="0" xfId="626" applyNumberFormat="1" applyFont="1" applyFill="1"/>
    <xf numFmtId="0" fontId="59" fillId="0" borderId="0" xfId="626" quotePrefix="1" applyFont="1" applyFill="1" applyAlignment="1">
      <alignment horizontal="center"/>
    </xf>
    <xf numFmtId="166" fontId="59" fillId="0" borderId="19" xfId="360" applyNumberFormat="1" applyFont="1" applyFill="1" applyBorder="1"/>
    <xf numFmtId="166" fontId="59" fillId="0" borderId="20" xfId="360" applyNumberFormat="1" applyFont="1" applyFill="1" applyBorder="1"/>
    <xf numFmtId="0" fontId="61" fillId="0" borderId="0" xfId="626" applyFont="1" applyFill="1" applyAlignment="1">
      <alignment horizontal="left"/>
    </xf>
    <xf numFmtId="166" fontId="59" fillId="0" borderId="0" xfId="360" applyNumberFormat="1" applyFont="1" applyFill="1"/>
    <xf numFmtId="166" fontId="59" fillId="0" borderId="0" xfId="360" applyNumberFormat="1" applyFont="1" applyFill="1" applyAlignment="1"/>
    <xf numFmtId="166" fontId="59" fillId="0" borderId="21" xfId="360" applyNumberFormat="1" applyFont="1" applyFill="1" applyBorder="1"/>
    <xf numFmtId="166" fontId="59" fillId="0" borderId="0" xfId="360" applyNumberFormat="1" applyFont="1" applyFill="1" applyBorder="1"/>
    <xf numFmtId="0" fontId="61" fillId="0" borderId="0" xfId="626" applyNumberFormat="1" applyFont="1" applyFill="1" applyAlignment="1"/>
    <xf numFmtId="0" fontId="61" fillId="0" borderId="0" xfId="626" applyFont="1" applyFill="1" applyAlignment="1">
      <alignment horizontal="left" indent="1"/>
    </xf>
    <xf numFmtId="166" fontId="59" fillId="0" borderId="22" xfId="360" applyNumberFormat="1" applyFont="1" applyFill="1" applyBorder="1"/>
    <xf numFmtId="0" fontId="61" fillId="0" borderId="0" xfId="626" applyNumberFormat="1" applyFont="1" applyFill="1" applyAlignment="1">
      <alignment horizontal="left"/>
    </xf>
    <xf numFmtId="166" fontId="61" fillId="0" borderId="0" xfId="360" quotePrefix="1" applyNumberFormat="1" applyFont="1" applyFill="1" applyAlignment="1"/>
    <xf numFmtId="166" fontId="61" fillId="0" borderId="0" xfId="626" applyNumberFormat="1" applyFont="1" applyFill="1" applyAlignment="1"/>
    <xf numFmtId="0" fontId="61" fillId="0" borderId="0" xfId="639" applyFont="1" applyAlignment="1">
      <alignment horizontal="left"/>
    </xf>
    <xf numFmtId="166" fontId="61" fillId="0" borderId="0" xfId="360" applyNumberFormat="1" applyFont="1" applyFill="1" applyAlignment="1">
      <alignment horizontal="center" wrapText="1"/>
    </xf>
    <xf numFmtId="0" fontId="61" fillId="0" borderId="0" xfId="626" applyFont="1" applyFill="1" applyAlignment="1">
      <alignment vertical="center"/>
    </xf>
    <xf numFmtId="0" fontId="66" fillId="0" borderId="0" xfId="0" applyFont="1" applyAlignment="1"/>
    <xf numFmtId="166" fontId="0" fillId="0" borderId="0" xfId="360" applyNumberFormat="1" applyFont="1"/>
    <xf numFmtId="166" fontId="0" fillId="0" borderId="0" xfId="0" applyNumberFormat="1" applyAlignment="1"/>
    <xf numFmtId="37" fontId="61" fillId="0" borderId="0" xfId="626" applyNumberFormat="1" applyFont="1" applyFill="1" applyAlignment="1" applyProtection="1">
      <alignment vertical="top"/>
    </xf>
    <xf numFmtId="166" fontId="61" fillId="0" borderId="0" xfId="626" applyNumberFormat="1" applyFont="1" applyFill="1" applyAlignment="1">
      <alignment horizontal="center" vertical="center" wrapText="1"/>
    </xf>
    <xf numFmtId="166" fontId="59" fillId="0" borderId="0" xfId="360" applyNumberFormat="1" applyFont="1" applyFill="1" applyBorder="1" applyAlignment="1"/>
    <xf numFmtId="0" fontId="0" fillId="0" borderId="0" xfId="0" applyAlignment="1">
      <alignment horizontal="right"/>
    </xf>
    <xf numFmtId="0" fontId="0" fillId="0" borderId="0" xfId="0" applyBorder="1" applyAlignment="1">
      <alignment horizontal="center"/>
    </xf>
    <xf numFmtId="166" fontId="59" fillId="0" borderId="0" xfId="360" applyNumberFormat="1" applyFont="1" applyFill="1" applyAlignment="1">
      <alignment horizontal="left"/>
    </xf>
    <xf numFmtId="0" fontId="61" fillId="0" borderId="0" xfId="639" applyFont="1" applyAlignment="1">
      <alignment horizontal="center"/>
    </xf>
    <xf numFmtId="166" fontId="59" fillId="0" borderId="23" xfId="360" applyNumberFormat="1" applyFont="1" applyFill="1" applyBorder="1"/>
    <xf numFmtId="166" fontId="59" fillId="0" borderId="0" xfId="626" applyNumberFormat="1" applyFont="1" applyFill="1" applyBorder="1"/>
    <xf numFmtId="0" fontId="59" fillId="0" borderId="0" xfId="626" applyFont="1" applyFill="1" applyBorder="1"/>
    <xf numFmtId="0" fontId="61" fillId="0" borderId="0" xfId="633" applyFont="1" applyFill="1" applyAlignment="1"/>
    <xf numFmtId="0" fontId="62" fillId="0" borderId="0" xfId="633" applyFont="1" applyFill="1" applyAlignment="1"/>
    <xf numFmtId="166" fontId="61" fillId="0" borderId="0" xfId="633" applyNumberFormat="1" applyFont="1" applyFill="1" applyAlignment="1"/>
    <xf numFmtId="0" fontId="59" fillId="0" borderId="0" xfId="633" applyFont="1" applyFill="1"/>
    <xf numFmtId="0" fontId="65" fillId="0" borderId="0" xfId="633" applyFont="1" applyFill="1" applyAlignment="1"/>
    <xf numFmtId="0" fontId="63" fillId="0" borderId="0" xfId="633" applyFont="1" applyFill="1"/>
    <xf numFmtId="0" fontId="61" fillId="0" borderId="0" xfId="633" applyFont="1" applyFill="1" applyAlignment="1">
      <alignment horizontal="center" vertical="center" wrapText="1"/>
    </xf>
    <xf numFmtId="0" fontId="64" fillId="0" borderId="0" xfId="633" applyFont="1" applyFill="1"/>
    <xf numFmtId="0" fontId="62" fillId="0" borderId="0" xfId="633" applyNumberFormat="1" applyFont="1" applyAlignment="1"/>
    <xf numFmtId="166" fontId="61" fillId="0" borderId="0" xfId="633" applyNumberFormat="1" applyFont="1" applyFill="1" applyAlignment="1">
      <alignment horizontal="center"/>
    </xf>
    <xf numFmtId="0" fontId="61" fillId="0" borderId="0" xfId="633" applyFont="1" applyFill="1"/>
    <xf numFmtId="0" fontId="59" fillId="0" borderId="0" xfId="633" applyFont="1" applyFill="1" applyAlignment="1">
      <alignment horizontal="center"/>
    </xf>
    <xf numFmtId="166" fontId="59" fillId="0" borderId="0" xfId="633" applyNumberFormat="1" applyFont="1" applyFill="1"/>
    <xf numFmtId="0" fontId="61" fillId="0" borderId="0" xfId="633" applyFont="1" applyFill="1" applyAlignment="1">
      <alignment horizontal="center" vertical="center"/>
    </xf>
    <xf numFmtId="0" fontId="65" fillId="0" borderId="0" xfId="633" applyFont="1" applyFill="1" applyAlignment="1">
      <alignment vertical="center"/>
    </xf>
    <xf numFmtId="0" fontId="61" fillId="0" borderId="0" xfId="633" applyFont="1" applyFill="1" applyAlignment="1">
      <alignment vertical="center"/>
    </xf>
    <xf numFmtId="0" fontId="62" fillId="0" borderId="0" xfId="633" applyFont="1" applyFill="1" applyAlignment="1">
      <alignment vertical="center"/>
    </xf>
    <xf numFmtId="0" fontId="61" fillId="0" borderId="0" xfId="633" applyFont="1" applyFill="1" applyAlignment="1">
      <alignment horizontal="right" vertical="center"/>
    </xf>
    <xf numFmtId="0" fontId="61" fillId="0" borderId="0" xfId="639" applyFont="1" applyFill="1" applyAlignment="1">
      <alignment horizontal="left"/>
    </xf>
    <xf numFmtId="0" fontId="61" fillId="0" borderId="0" xfId="633" applyFont="1" applyFill="1" applyAlignment="1">
      <alignment horizontal="center"/>
    </xf>
    <xf numFmtId="166" fontId="59" fillId="0" borderId="0" xfId="360" applyNumberFormat="1" applyFont="1" applyFill="1" applyAlignment="1">
      <alignment horizontal="center"/>
    </xf>
    <xf numFmtId="0" fontId="59" fillId="0" borderId="0" xfId="633" applyFont="1" applyFill="1" applyAlignment="1">
      <alignment horizontal="left"/>
    </xf>
    <xf numFmtId="166" fontId="61" fillId="0" borderId="1" xfId="360" applyNumberFormat="1" applyFont="1" applyFill="1" applyBorder="1" applyAlignment="1">
      <alignment horizontal="center" wrapText="1"/>
    </xf>
    <xf numFmtId="166" fontId="61" fillId="0" borderId="0" xfId="626" applyNumberFormat="1" applyFont="1" applyFill="1"/>
    <xf numFmtId="0" fontId="59" fillId="0" borderId="0" xfId="633" applyFont="1"/>
    <xf numFmtId="166" fontId="65" fillId="0" borderId="0" xfId="633" applyNumberFormat="1" applyFont="1"/>
    <xf numFmtId="166" fontId="59" fillId="0" borderId="0" xfId="360" applyNumberFormat="1" applyFont="1"/>
    <xf numFmtId="0" fontId="61" fillId="0" borderId="0" xfId="633" applyFont="1"/>
    <xf numFmtId="0" fontId="59" fillId="0" borderId="0" xfId="633" applyFont="1" applyAlignment="1">
      <alignment horizontal="left" indent="1"/>
    </xf>
    <xf numFmtId="0" fontId="59" fillId="0" borderId="0" xfId="633" applyFont="1" applyAlignment="1">
      <alignment horizontal="left" indent="2"/>
    </xf>
    <xf numFmtId="166" fontId="59" fillId="0" borderId="2" xfId="360" applyNumberFormat="1" applyFont="1" applyBorder="1"/>
    <xf numFmtId="166" fontId="59" fillId="0" borderId="18" xfId="360" applyNumberFormat="1" applyFont="1" applyBorder="1"/>
    <xf numFmtId="166" fontId="59" fillId="0" borderId="19" xfId="360" applyNumberFormat="1" applyFont="1" applyBorder="1"/>
    <xf numFmtId="166" fontId="59" fillId="0" borderId="20" xfId="360" applyNumberFormat="1" applyFont="1" applyBorder="1"/>
    <xf numFmtId="166" fontId="59" fillId="0" borderId="0" xfId="360" applyNumberFormat="1" applyFont="1" applyBorder="1"/>
    <xf numFmtId="0" fontId="61" fillId="0" borderId="0" xfId="633" applyNumberFormat="1" applyFont="1" applyFill="1"/>
    <xf numFmtId="166" fontId="59" fillId="0" borderId="0" xfId="633" applyNumberFormat="1" applyFont="1"/>
    <xf numFmtId="43" fontId="59" fillId="0" borderId="0" xfId="633" applyNumberFormat="1" applyFont="1"/>
    <xf numFmtId="0" fontId="59" fillId="0" borderId="0" xfId="633" applyFont="1" applyAlignment="1">
      <alignment horizontal="center"/>
    </xf>
    <xf numFmtId="166" fontId="59" fillId="0" borderId="21" xfId="360" applyNumberFormat="1" applyFont="1" applyBorder="1"/>
    <xf numFmtId="43" fontId="59" fillId="0" borderId="0" xfId="633" applyNumberFormat="1" applyFont="1" applyFill="1"/>
    <xf numFmtId="0" fontId="61" fillId="0" borderId="0" xfId="633" applyFont="1" applyFill="1" applyAlignment="1">
      <alignment horizontal="centerContinuous" vertical="center"/>
    </xf>
    <xf numFmtId="0" fontId="59" fillId="0" borderId="0" xfId="633" applyFont="1" applyFill="1" applyAlignment="1">
      <alignment horizontal="centerContinuous"/>
    </xf>
    <xf numFmtId="166" fontId="61" fillId="0" borderId="0" xfId="360" applyNumberFormat="1" applyFont="1" applyBorder="1"/>
    <xf numFmtId="166" fontId="61" fillId="0" borderId="0" xfId="360" applyNumberFormat="1" applyFont="1"/>
    <xf numFmtId="166" fontId="64" fillId="0" borderId="0" xfId="633" applyNumberFormat="1" applyFont="1" applyFill="1"/>
    <xf numFmtId="166" fontId="64" fillId="0" borderId="0" xfId="633" applyNumberFormat="1" applyFont="1"/>
    <xf numFmtId="43" fontId="64" fillId="0" borderId="0" xfId="633" applyNumberFormat="1" applyFont="1" applyFill="1"/>
    <xf numFmtId="166" fontId="59" fillId="0" borderId="24" xfId="360" applyNumberFormat="1" applyFont="1" applyBorder="1"/>
    <xf numFmtId="166" fontId="64" fillId="0" borderId="25" xfId="633" applyNumberFormat="1" applyFont="1" applyBorder="1"/>
    <xf numFmtId="0" fontId="61" fillId="0" borderId="0" xfId="639" applyNumberFormat="1" applyFont="1" applyAlignment="1">
      <alignment horizontal="left" vertical="top"/>
    </xf>
    <xf numFmtId="0" fontId="59" fillId="0" borderId="0" xfId="631" applyFont="1" applyFill="1" applyAlignment="1"/>
    <xf numFmtId="0" fontId="59" fillId="0" borderId="0" xfId="638" applyNumberFormat="1" applyFont="1" applyFill="1" applyAlignment="1">
      <alignment horizontal="centerContinuous" vertical="top"/>
    </xf>
    <xf numFmtId="166" fontId="59" fillId="0" borderId="0" xfId="360" applyNumberFormat="1" applyFont="1" applyFill="1" applyAlignment="1">
      <alignment horizontal="centerContinuous" vertical="center"/>
    </xf>
    <xf numFmtId="0" fontId="59" fillId="0" borderId="0" xfId="638" applyNumberFormat="1" applyFont="1" applyFill="1" applyAlignment="1">
      <alignment vertical="top"/>
    </xf>
    <xf numFmtId="0" fontId="61" fillId="0" borderId="0" xfId="638" applyNumberFormat="1" applyFont="1" applyFill="1" applyAlignment="1">
      <alignment horizontal="left" vertical="top"/>
    </xf>
    <xf numFmtId="0" fontId="59" fillId="0" borderId="0" xfId="638" applyFont="1" applyFill="1" applyAlignment="1">
      <alignment vertical="top"/>
    </xf>
    <xf numFmtId="0" fontId="59" fillId="0" borderId="0" xfId="638" applyFont="1" applyFill="1" applyAlignment="1">
      <alignment horizontal="left" vertical="top"/>
    </xf>
    <xf numFmtId="43" fontId="59" fillId="0" borderId="22" xfId="360" applyNumberFormat="1" applyFont="1" applyFill="1" applyBorder="1"/>
    <xf numFmtId="43" fontId="59" fillId="0" borderId="0" xfId="360" applyNumberFormat="1" applyFont="1" applyFill="1" applyBorder="1"/>
    <xf numFmtId="166" fontId="61" fillId="0" borderId="0" xfId="360" applyNumberFormat="1" applyFont="1" applyFill="1" applyAlignment="1">
      <alignment horizontal="center"/>
    </xf>
    <xf numFmtId="166" fontId="61" fillId="0" borderId="0" xfId="360" applyNumberFormat="1" applyFont="1" applyFill="1" applyAlignment="1">
      <alignment horizontal="center" vertical="center"/>
    </xf>
    <xf numFmtId="0" fontId="61" fillId="0" borderId="0" xfId="0" applyFont="1" applyFill="1" applyAlignment="1">
      <alignment vertical="top"/>
    </xf>
    <xf numFmtId="0" fontId="61" fillId="0" borderId="0" xfId="634" applyFont="1" applyFill="1" applyAlignment="1">
      <alignment horizontal="left" vertical="top"/>
    </xf>
    <xf numFmtId="0" fontId="61" fillId="0" borderId="0" xfId="634" applyFont="1" applyFill="1" applyAlignment="1">
      <alignment vertical="top"/>
    </xf>
    <xf numFmtId="0" fontId="62" fillId="0" borderId="0" xfId="634" applyFont="1" applyFill="1" applyAlignment="1">
      <alignment vertical="top"/>
    </xf>
    <xf numFmtId="0" fontId="59" fillId="0" borderId="0" xfId="634" applyFont="1" applyFill="1" applyAlignment="1">
      <alignment vertical="top"/>
    </xf>
    <xf numFmtId="0" fontId="61" fillId="0" borderId="0" xfId="634" quotePrefix="1" applyFont="1" applyFill="1" applyAlignment="1">
      <alignment horizontal="left" vertical="top"/>
    </xf>
    <xf numFmtId="0" fontId="63" fillId="0" borderId="0" xfId="634" applyFont="1" applyFill="1" applyAlignment="1">
      <alignment vertical="top"/>
    </xf>
    <xf numFmtId="0" fontId="59" fillId="0" borderId="0" xfId="634" applyFont="1" applyFill="1" applyAlignment="1">
      <alignment horizontal="justify" vertical="top"/>
    </xf>
    <xf numFmtId="0" fontId="61" fillId="0" borderId="0" xfId="634" applyNumberFormat="1" applyFont="1" applyFill="1" applyAlignment="1">
      <alignment vertical="top"/>
    </xf>
    <xf numFmtId="0" fontId="61" fillId="0" borderId="0" xfId="634" applyNumberFormat="1" applyFont="1" applyFill="1" applyAlignment="1">
      <alignment horizontal="left" vertical="top"/>
    </xf>
    <xf numFmtId="0" fontId="59" fillId="0" borderId="0" xfId="634" applyFont="1" applyFill="1" applyAlignment="1">
      <alignment horizontal="justify" vertical="top" wrapText="1"/>
    </xf>
    <xf numFmtId="0" fontId="59" fillId="0" borderId="0" xfId="634" applyFont="1" applyAlignment="1">
      <alignment horizontal="justify" vertical="top" wrapText="1"/>
    </xf>
    <xf numFmtId="0" fontId="59" fillId="0" borderId="0" xfId="634" applyFont="1" applyFill="1" applyAlignment="1">
      <alignment horizontal="left" vertical="top"/>
    </xf>
    <xf numFmtId="0" fontId="59" fillId="0" borderId="0" xfId="639" applyFont="1" applyFill="1" applyAlignment="1">
      <alignment vertical="top"/>
    </xf>
    <xf numFmtId="0" fontId="61" fillId="0" borderId="0" xfId="634" applyFont="1" applyFill="1" applyAlignment="1">
      <alignment horizontal="left"/>
    </xf>
    <xf numFmtId="0" fontId="59" fillId="0" borderId="0" xfId="634" applyFont="1" applyFill="1" applyAlignment="1">
      <alignment horizontal="centerContinuous" vertical="top"/>
    </xf>
    <xf numFmtId="0" fontId="61" fillId="0" borderId="0" xfId="634" applyFont="1" applyFill="1"/>
    <xf numFmtId="0" fontId="59" fillId="0" borderId="0" xfId="634" applyFont="1" applyFill="1"/>
    <xf numFmtId="0" fontId="59" fillId="0" borderId="0" xfId="634" applyFont="1" applyFill="1" applyAlignment="1">
      <alignment horizontal="left"/>
    </xf>
    <xf numFmtId="0" fontId="59" fillId="0" borderId="0" xfId="634" applyFont="1" applyFill="1" applyAlignment="1">
      <alignment vertical="justify"/>
    </xf>
    <xf numFmtId="0" fontId="59" fillId="0" borderId="0" xfId="634" applyFont="1" applyFill="1" applyAlignment="1">
      <alignment horizontal="left" vertical="justify" wrapText="1"/>
    </xf>
    <xf numFmtId="0" fontId="59" fillId="0" borderId="0" xfId="634" applyFont="1" applyAlignment="1">
      <alignment vertical="top"/>
    </xf>
    <xf numFmtId="0" fontId="61" fillId="0" borderId="0" xfId="639" quotePrefix="1" applyNumberFormat="1" applyFont="1" applyAlignment="1">
      <alignment horizontal="left" vertical="top"/>
    </xf>
    <xf numFmtId="0" fontId="61" fillId="0" borderId="0" xfId="631" applyNumberFormat="1" applyFont="1" applyBorder="1" applyAlignment="1"/>
    <xf numFmtId="0" fontId="59" fillId="0" borderId="0" xfId="637" applyFont="1" applyFill="1" applyAlignment="1"/>
    <xf numFmtId="0" fontId="59" fillId="0" borderId="0" xfId="637" applyFont="1" applyFill="1" applyAlignment="1">
      <alignment horizontal="center"/>
    </xf>
    <xf numFmtId="0" fontId="59" fillId="0" borderId="0" xfId="627" applyFont="1" applyAlignment="1"/>
    <xf numFmtId="37" fontId="61" fillId="0" borderId="0" xfId="627" applyNumberFormat="1" applyFont="1" applyAlignment="1"/>
    <xf numFmtId="0" fontId="59" fillId="0" borderId="0" xfId="627" applyFont="1" applyBorder="1" applyAlignment="1"/>
    <xf numFmtId="0" fontId="59" fillId="0" borderId="0" xfId="637" applyNumberFormat="1" applyFont="1" applyFill="1" applyAlignment="1"/>
    <xf numFmtId="0" fontId="61" fillId="0" borderId="0" xfId="639" quotePrefix="1" applyFont="1" applyFill="1" applyAlignment="1">
      <alignment horizontal="center"/>
    </xf>
    <xf numFmtId="37" fontId="59" fillId="0" borderId="0" xfId="627" applyNumberFormat="1" applyFont="1" applyAlignment="1"/>
    <xf numFmtId="0" fontId="61" fillId="0" borderId="0" xfId="631" applyFont="1" applyFill="1" applyAlignment="1"/>
    <xf numFmtId="0" fontId="59" fillId="0" borderId="0" xfId="637" quotePrefix="1" applyFont="1" applyFill="1" applyAlignment="1">
      <alignment horizontal="center"/>
    </xf>
    <xf numFmtId="189" fontId="59" fillId="0" borderId="0" xfId="631" applyNumberFormat="1" applyFont="1" applyFill="1" applyBorder="1" applyAlignment="1"/>
    <xf numFmtId="0" fontId="59" fillId="0" borderId="15" xfId="627" applyFont="1" applyBorder="1" applyAlignment="1"/>
    <xf numFmtId="189" fontId="59" fillId="0" borderId="26" xfId="442" applyNumberFormat="1" applyFont="1" applyFill="1" applyBorder="1" applyAlignment="1"/>
    <xf numFmtId="189" fontId="59" fillId="0" borderId="0" xfId="631" applyNumberFormat="1" applyFont="1" applyBorder="1" applyAlignment="1"/>
    <xf numFmtId="0" fontId="59" fillId="0" borderId="27" xfId="627" applyFont="1" applyBorder="1" applyAlignment="1"/>
    <xf numFmtId="166" fontId="59" fillId="0" borderId="0" xfId="627" applyNumberFormat="1" applyFont="1" applyAlignment="1"/>
    <xf numFmtId="189" fontId="59" fillId="0" borderId="28" xfId="442" applyNumberFormat="1" applyFont="1" applyFill="1" applyBorder="1" applyAlignment="1"/>
    <xf numFmtId="189" fontId="59" fillId="0" borderId="0" xfId="442" applyNumberFormat="1" applyFont="1" applyFill="1" applyBorder="1" applyAlignment="1"/>
    <xf numFmtId="189" fontId="59" fillId="0" borderId="21" xfId="631" applyNumberFormat="1" applyFont="1" applyBorder="1" applyAlignment="1"/>
    <xf numFmtId="0" fontId="59" fillId="0" borderId="0" xfId="639" applyNumberFormat="1" applyFont="1" applyAlignment="1">
      <alignment vertical="top"/>
    </xf>
    <xf numFmtId="0" fontId="59" fillId="0" borderId="0" xfId="639" applyFont="1" applyBorder="1" applyAlignment="1">
      <alignment vertical="top"/>
    </xf>
    <xf numFmtId="0" fontId="59" fillId="0" borderId="0" xfId="639" applyFont="1" applyAlignment="1">
      <alignment vertical="top"/>
    </xf>
    <xf numFmtId="0" fontId="63" fillId="0" borderId="0" xfId="634" applyFont="1" applyFill="1" applyAlignment="1">
      <alignment horizontal="centerContinuous"/>
    </xf>
    <xf numFmtId="0" fontId="61" fillId="0" borderId="0" xfId="634" quotePrefix="1" applyFont="1" applyFill="1" applyAlignment="1">
      <alignment horizontal="left"/>
    </xf>
    <xf numFmtId="16" fontId="59" fillId="0" borderId="0" xfId="634" applyNumberFormat="1" applyFont="1" applyFill="1"/>
    <xf numFmtId="0" fontId="63" fillId="0" borderId="0" xfId="634" applyFont="1" applyFill="1"/>
    <xf numFmtId="0" fontId="61" fillId="0" borderId="0" xfId="634" applyFont="1" applyFill="1" applyAlignment="1">
      <alignment horizontal="left" indent="1"/>
    </xf>
    <xf numFmtId="0" fontId="59" fillId="0" borderId="0" xfId="634" applyFont="1" applyFill="1" applyAlignment="1">
      <alignment horizontal="justify" vertical="justify"/>
    </xf>
    <xf numFmtId="0" fontId="61" fillId="0" borderId="0" xfId="634" applyNumberFormat="1" applyFont="1" applyFill="1" applyAlignment="1"/>
    <xf numFmtId="0" fontId="59" fillId="0" borderId="0" xfId="634" applyFont="1" applyFill="1" applyAlignment="1">
      <alignment horizontal="justify"/>
    </xf>
    <xf numFmtId="0" fontId="63" fillId="0" borderId="0" xfId="634" applyFont="1" applyFill="1" applyAlignment="1">
      <alignment horizontal="left"/>
    </xf>
    <xf numFmtId="0" fontId="59" fillId="0" borderId="0" xfId="634" applyFont="1" applyFill="1" applyAlignment="1"/>
    <xf numFmtId="0" fontId="61" fillId="0" borderId="0" xfId="634" applyFont="1" applyFill="1" applyAlignment="1"/>
    <xf numFmtId="1" fontId="61" fillId="0" borderId="0" xfId="634" quotePrefix="1" applyNumberFormat="1" applyFont="1" applyFill="1" applyAlignment="1">
      <alignment horizontal="left"/>
    </xf>
    <xf numFmtId="0" fontId="59" fillId="0" borderId="0" xfId="634" applyFont="1" applyFill="1" applyBorder="1"/>
    <xf numFmtId="0" fontId="61" fillId="0" borderId="0" xfId="634" applyFont="1" applyFill="1" applyAlignment="1">
      <alignment horizontal="centerContinuous" vertical="center"/>
    </xf>
    <xf numFmtId="0" fontId="61" fillId="0" borderId="0" xfId="634" applyFont="1" applyFill="1" applyAlignment="1">
      <alignment vertical="center"/>
    </xf>
    <xf numFmtId="0" fontId="62" fillId="0" borderId="0" xfId="634" applyFont="1" applyFill="1" applyAlignment="1">
      <alignment vertical="center"/>
    </xf>
    <xf numFmtId="0" fontId="59" fillId="0" borderId="0" xfId="0" applyFont="1" applyFill="1" applyAlignment="1">
      <alignment horizontal="justify" vertical="top"/>
    </xf>
    <xf numFmtId="166" fontId="59" fillId="0" borderId="0" xfId="634" applyNumberFormat="1" applyFont="1" applyFill="1"/>
    <xf numFmtId="0" fontId="0" fillId="0" borderId="20" xfId="0" applyBorder="1" applyAlignment="1">
      <alignment horizontal="center"/>
    </xf>
    <xf numFmtId="0" fontId="0" fillId="0" borderId="28" xfId="0" applyBorder="1" applyAlignment="1">
      <alignment horizontal="center"/>
    </xf>
    <xf numFmtId="0" fontId="59" fillId="0" borderId="0" xfId="0" applyFont="1" applyFill="1" applyAlignment="1">
      <alignment horizontal="justify" vertical="top" wrapText="1"/>
    </xf>
    <xf numFmtId="0" fontId="59" fillId="0" borderId="0" xfId="0" applyFont="1" applyAlignment="1">
      <alignment horizontal="justify" vertical="top" wrapText="1"/>
    </xf>
    <xf numFmtId="0" fontId="59" fillId="0" borderId="0" xfId="634" applyNumberFormat="1" applyFont="1" applyFill="1" applyAlignment="1"/>
    <xf numFmtId="0" fontId="61" fillId="0" borderId="0" xfId="626" applyFont="1" applyFill="1" applyAlignment="1">
      <alignment horizontal="centerContinuous" vertical="center"/>
    </xf>
    <xf numFmtId="0" fontId="61" fillId="0" borderId="0" xfId="633" applyFont="1" applyFill="1" applyAlignment="1">
      <alignment horizontal="left" indent="1"/>
    </xf>
    <xf numFmtId="166" fontId="61" fillId="0" borderId="0" xfId="360" applyNumberFormat="1" applyFont="1" applyFill="1" applyAlignment="1">
      <alignment horizontal="centerContinuous" vertical="center"/>
    </xf>
    <xf numFmtId="0" fontId="59" fillId="0" borderId="0" xfId="633" applyFont="1" applyFill="1" applyAlignment="1"/>
    <xf numFmtId="0" fontId="63" fillId="0" borderId="0" xfId="633" applyFont="1" applyFill="1" applyAlignment="1"/>
    <xf numFmtId="166" fontId="59" fillId="0" borderId="0" xfId="633" applyNumberFormat="1" applyFont="1" applyFill="1" applyAlignment="1"/>
    <xf numFmtId="0" fontId="59" fillId="0" borderId="0" xfId="0" applyFont="1" applyAlignment="1"/>
    <xf numFmtId="0" fontId="61" fillId="0" borderId="0" xfId="0" applyFont="1" applyAlignment="1"/>
    <xf numFmtId="0" fontId="61" fillId="0" borderId="0" xfId="639" applyNumberFormat="1" applyFont="1" applyAlignment="1">
      <alignment vertical="top"/>
    </xf>
    <xf numFmtId="0" fontId="59" fillId="0" borderId="0" xfId="0" applyFont="1" applyFill="1" applyAlignment="1">
      <alignment vertical="top"/>
    </xf>
    <xf numFmtId="0" fontId="61" fillId="0" borderId="0" xfId="629" applyFont="1" applyFill="1" applyAlignment="1">
      <alignment horizontal="left" vertical="center"/>
    </xf>
    <xf numFmtId="166" fontId="61" fillId="0" borderId="0" xfId="417" applyNumberFormat="1" applyFont="1" applyFill="1" applyAlignment="1">
      <alignment horizontal="left" vertical="center"/>
    </xf>
    <xf numFmtId="166" fontId="61" fillId="0" borderId="0" xfId="373" applyNumberFormat="1" applyFont="1" applyFill="1" applyAlignment="1">
      <alignment horizontal="left" vertical="center"/>
    </xf>
    <xf numFmtId="43" fontId="61" fillId="0" borderId="0" xfId="373" applyFont="1" applyFill="1" applyAlignment="1">
      <alignment horizontal="center" vertical="center"/>
    </xf>
    <xf numFmtId="43" fontId="61" fillId="0" borderId="0" xfId="373" applyFont="1" applyFill="1"/>
    <xf numFmtId="0" fontId="73" fillId="0" borderId="0" xfId="629" applyFont="1"/>
    <xf numFmtId="166" fontId="73" fillId="0" borderId="0" xfId="373" applyNumberFormat="1" applyFont="1" applyFill="1" applyAlignment="1">
      <alignment horizontal="right"/>
    </xf>
    <xf numFmtId="166" fontId="73" fillId="0" borderId="0" xfId="373" applyNumberFormat="1" applyFont="1" applyFill="1" applyAlignment="1">
      <alignment horizontal="left"/>
    </xf>
    <xf numFmtId="166" fontId="73" fillId="0" borderId="0" xfId="373" applyNumberFormat="1" applyFont="1" applyFill="1"/>
    <xf numFmtId="0" fontId="74" fillId="0" borderId="0" xfId="629" applyFont="1" applyFill="1" applyAlignment="1"/>
    <xf numFmtId="0" fontId="73" fillId="0" borderId="0" xfId="629" applyFont="1" applyFill="1"/>
    <xf numFmtId="166" fontId="74" fillId="0" borderId="0" xfId="373" applyNumberFormat="1" applyFont="1" applyFill="1" applyAlignment="1"/>
    <xf numFmtId="43" fontId="74" fillId="0" borderId="0" xfId="373" applyFont="1" applyFill="1" applyAlignment="1"/>
    <xf numFmtId="166" fontId="73" fillId="0" borderId="0" xfId="373" applyNumberFormat="1" applyFont="1" applyFill="1" applyAlignment="1">
      <alignment horizontal="centerContinuous"/>
    </xf>
    <xf numFmtId="166" fontId="74" fillId="0" borderId="0" xfId="373" applyNumberFormat="1" applyFont="1" applyFill="1" applyAlignment="1">
      <alignment horizontal="centerContinuous"/>
    </xf>
    <xf numFmtId="43" fontId="74" fillId="0" borderId="0" xfId="373" applyFont="1" applyFill="1" applyAlignment="1">
      <alignment horizontal="centerContinuous"/>
    </xf>
    <xf numFmtId="43" fontId="73" fillId="0" borderId="0" xfId="373" applyFont="1" applyFill="1"/>
    <xf numFmtId="166" fontId="73" fillId="0" borderId="0" xfId="373" applyNumberFormat="1" applyFont="1"/>
    <xf numFmtId="43" fontId="73" fillId="0" borderId="0" xfId="373" applyFont="1"/>
    <xf numFmtId="0" fontId="74" fillId="0" borderId="0" xfId="629" applyFont="1"/>
    <xf numFmtId="0" fontId="74" fillId="0" borderId="0" xfId="629" applyFont="1" applyAlignment="1">
      <alignment horizontal="left"/>
    </xf>
    <xf numFmtId="166" fontId="59" fillId="0" borderId="0" xfId="360" applyNumberFormat="1" applyFont="1" applyFill="1" applyBorder="1" applyAlignment="1">
      <alignment horizontal="centerContinuous" vertical="center"/>
    </xf>
    <xf numFmtId="166" fontId="59" fillId="0" borderId="0" xfId="360" applyNumberFormat="1" applyFont="1" applyFill="1" applyBorder="1" applyAlignment="1">
      <alignment horizontal="center"/>
    </xf>
    <xf numFmtId="166" fontId="61" fillId="0" borderId="0" xfId="634" applyNumberFormat="1" applyFont="1" applyFill="1" applyAlignment="1">
      <alignment vertical="center" wrapText="1"/>
    </xf>
    <xf numFmtId="166" fontId="61" fillId="0" borderId="0" xfId="634" applyNumberFormat="1" applyFont="1" applyFill="1" applyAlignment="1">
      <alignment horizontal="center" vertical="center" wrapText="1"/>
    </xf>
    <xf numFmtId="166" fontId="61" fillId="0" borderId="0" xfId="634" applyNumberFormat="1" applyFont="1" applyFill="1" applyBorder="1" applyAlignment="1">
      <alignment horizontal="center" vertical="center" wrapText="1"/>
    </xf>
    <xf numFmtId="0" fontId="61" fillId="0" borderId="0" xfId="638" applyNumberFormat="1" applyFont="1" applyFill="1" applyAlignment="1">
      <alignment horizontal="center" vertical="top"/>
    </xf>
    <xf numFmtId="166" fontId="61" fillId="0" borderId="0" xfId="360" applyNumberFormat="1" applyFont="1" applyFill="1" applyBorder="1" applyAlignment="1">
      <alignment horizontal="center" vertical="center"/>
    </xf>
    <xf numFmtId="166" fontId="61" fillId="0" borderId="0" xfId="360" applyNumberFormat="1" applyFont="1" applyFill="1" applyBorder="1" applyAlignment="1">
      <alignment horizontal="centerContinuous" vertical="center"/>
    </xf>
    <xf numFmtId="166" fontId="59" fillId="0" borderId="22" xfId="360" applyNumberFormat="1" applyFont="1" applyFill="1" applyBorder="1" applyAlignment="1"/>
    <xf numFmtId="0" fontId="61" fillId="0" borderId="0" xfId="633" applyNumberFormat="1" applyFont="1" applyFill="1" applyAlignment="1"/>
    <xf numFmtId="0" fontId="61" fillId="0" borderId="0" xfId="626" applyNumberFormat="1" applyFont="1" applyFill="1" applyAlignment="1">
      <alignment vertical="center"/>
    </xf>
    <xf numFmtId="0" fontId="61" fillId="0" borderId="0" xfId="0" quotePrefix="1" applyNumberFormat="1" applyFont="1" applyFill="1" applyAlignment="1">
      <alignment horizontal="left"/>
    </xf>
    <xf numFmtId="43" fontId="76" fillId="0" borderId="1" xfId="373" applyFont="1" applyFill="1" applyBorder="1" applyAlignment="1">
      <alignment horizontal="center" vertical="center" wrapText="1"/>
    </xf>
    <xf numFmtId="0" fontId="78" fillId="0" borderId="0" xfId="629" applyFont="1"/>
    <xf numFmtId="166" fontId="76" fillId="0" borderId="1" xfId="417" applyNumberFormat="1" applyFont="1" applyFill="1" applyBorder="1" applyAlignment="1">
      <alignment horizontal="center" vertical="center" wrapText="1"/>
    </xf>
    <xf numFmtId="166" fontId="76" fillId="0" borderId="1" xfId="373" applyNumberFormat="1" applyFont="1" applyFill="1" applyBorder="1" applyAlignment="1">
      <alignment horizontal="center" vertical="center" wrapText="1"/>
    </xf>
    <xf numFmtId="43" fontId="76" fillId="0" borderId="1" xfId="360" applyFont="1" applyFill="1" applyBorder="1" applyAlignment="1">
      <alignment horizontal="center" vertical="center" wrapText="1"/>
    </xf>
    <xf numFmtId="166" fontId="76" fillId="0" borderId="0" xfId="417" applyNumberFormat="1" applyFont="1" applyFill="1" applyBorder="1" applyAlignment="1">
      <alignment horizontal="center" vertical="center" wrapText="1"/>
    </xf>
    <xf numFmtId="166" fontId="76" fillId="0" borderId="0" xfId="373" applyNumberFormat="1" applyFont="1" applyFill="1" applyBorder="1" applyAlignment="1">
      <alignment horizontal="center" vertical="center" wrapText="1"/>
    </xf>
    <xf numFmtId="43" fontId="76" fillId="0" borderId="0" xfId="373" applyFont="1" applyFill="1" applyBorder="1" applyAlignment="1">
      <alignment horizontal="center" vertical="center" wrapText="1"/>
    </xf>
    <xf numFmtId="43" fontId="76" fillId="0" borderId="0" xfId="360" applyFont="1" applyFill="1" applyBorder="1" applyAlignment="1">
      <alignment horizontal="center" vertical="center" wrapText="1"/>
    </xf>
    <xf numFmtId="0" fontId="79" fillId="0" borderId="0" xfId="629" applyFont="1" applyFill="1" applyAlignment="1"/>
    <xf numFmtId="0" fontId="78" fillId="0" borderId="0" xfId="629" applyNumberFormat="1" applyFont="1" applyAlignment="1"/>
    <xf numFmtId="166" fontId="78" fillId="0" borderId="0" xfId="373" applyNumberFormat="1" applyFont="1" applyFill="1" applyAlignment="1">
      <alignment horizontal="right"/>
    </xf>
    <xf numFmtId="43" fontId="78" fillId="0" borderId="0" xfId="360" applyFont="1" applyFill="1"/>
    <xf numFmtId="166" fontId="78" fillId="0" borderId="0" xfId="373" applyNumberFormat="1" applyFont="1" applyFill="1" applyAlignment="1">
      <alignment horizontal="left"/>
    </xf>
    <xf numFmtId="166" fontId="78" fillId="0" borderId="0" xfId="373" applyNumberFormat="1" applyFont="1" applyFill="1" applyAlignment="1"/>
    <xf numFmtId="166" fontId="78" fillId="0" borderId="0" xfId="373" applyNumberFormat="1" applyFont="1" applyFill="1"/>
    <xf numFmtId="43" fontId="78" fillId="0" borderId="0" xfId="373" applyFont="1" applyFill="1" applyAlignment="1"/>
    <xf numFmtId="0" fontId="78" fillId="0" borderId="0" xfId="629" applyFont="1" applyFill="1" applyAlignment="1"/>
    <xf numFmtId="166" fontId="79" fillId="22" borderId="7" xfId="373" applyNumberFormat="1" applyFont="1" applyFill="1" applyBorder="1" applyAlignment="1"/>
    <xf numFmtId="0" fontId="78" fillId="0" borderId="0" xfId="629" applyFont="1" applyFill="1"/>
    <xf numFmtId="166" fontId="79" fillId="0" borderId="0" xfId="373" applyNumberFormat="1" applyFont="1" applyFill="1" applyAlignment="1"/>
    <xf numFmtId="43" fontId="79" fillId="0" borderId="0" xfId="373" applyFont="1" applyFill="1" applyAlignment="1"/>
    <xf numFmtId="0" fontId="79" fillId="0" borderId="0" xfId="629" applyFont="1" applyFill="1" applyBorder="1" applyAlignment="1">
      <alignment horizontal="left" vertical="center"/>
    </xf>
    <xf numFmtId="0" fontId="78" fillId="0" borderId="0" xfId="629" applyNumberFormat="1" applyFont="1" applyFill="1" applyAlignment="1">
      <alignment horizontal="left"/>
    </xf>
    <xf numFmtId="0" fontId="78" fillId="0" borderId="0" xfId="629" applyFont="1" applyFill="1" applyAlignment="1">
      <alignment horizontal="left"/>
    </xf>
    <xf numFmtId="0" fontId="79" fillId="0" borderId="0" xfId="629" applyFont="1" applyFill="1" applyAlignment="1">
      <alignment horizontal="left"/>
    </xf>
    <xf numFmtId="0" fontId="78" fillId="0" borderId="0" xfId="629" applyNumberFormat="1" applyFont="1" applyFill="1" applyAlignment="1"/>
    <xf numFmtId="188" fontId="78" fillId="0" borderId="0" xfId="360" applyNumberFormat="1" applyFont="1"/>
    <xf numFmtId="166" fontId="78" fillId="0" borderId="0" xfId="360" applyNumberFormat="1" applyFont="1" applyFill="1"/>
    <xf numFmtId="43" fontId="78" fillId="0" borderId="0" xfId="360" applyFont="1" applyFill="1" applyBorder="1"/>
    <xf numFmtId="0" fontId="79" fillId="0" borderId="0" xfId="629" applyFont="1" applyFill="1" applyBorder="1" applyAlignment="1">
      <alignment horizontal="centerContinuous" vertical="center"/>
    </xf>
    <xf numFmtId="166" fontId="78" fillId="0" borderId="0" xfId="373" applyNumberFormat="1" applyFont="1" applyFill="1" applyAlignment="1">
      <alignment horizontal="centerContinuous"/>
    </xf>
    <xf numFmtId="166" fontId="79" fillId="0" borderId="0" xfId="373" applyNumberFormat="1" applyFont="1" applyFill="1" applyAlignment="1">
      <alignment horizontal="centerContinuous"/>
    </xf>
    <xf numFmtId="43" fontId="79" fillId="0" borderId="0" xfId="373" applyFont="1" applyFill="1" applyAlignment="1">
      <alignment horizontal="centerContinuous"/>
    </xf>
    <xf numFmtId="43" fontId="79" fillId="22" borderId="7" xfId="373" applyFont="1" applyFill="1" applyBorder="1" applyAlignment="1"/>
    <xf numFmtId="15" fontId="61" fillId="0" borderId="0" xfId="634" quotePrefix="1" applyNumberFormat="1" applyFont="1" applyFill="1" applyAlignment="1">
      <alignment horizontal="centerContinuous" vertical="top"/>
    </xf>
    <xf numFmtId="0" fontId="61" fillId="0" borderId="0" xfId="360" applyNumberFormat="1" applyFont="1" applyAlignment="1">
      <alignment horizontal="centerContinuous"/>
    </xf>
    <xf numFmtId="0" fontId="59" fillId="0" borderId="0" xfId="627" applyFont="1" applyAlignment="1">
      <alignment horizontal="centerContinuous"/>
    </xf>
    <xf numFmtId="0" fontId="61" fillId="0" borderId="0" xfId="639" applyFont="1" applyFill="1" applyAlignment="1">
      <alignment horizontal="centerContinuous"/>
    </xf>
    <xf numFmtId="189" fontId="59" fillId="0" borderId="0" xfId="631" applyNumberFormat="1" applyFont="1" applyFill="1" applyBorder="1" applyAlignment="1">
      <alignment horizontal="centerContinuous"/>
    </xf>
    <xf numFmtId="189" fontId="59" fillId="0" borderId="22" xfId="631" applyNumberFormat="1" applyFont="1" applyBorder="1" applyAlignment="1">
      <alignment horizontal="centerContinuous"/>
    </xf>
    <xf numFmtId="0" fontId="59" fillId="0" borderId="22" xfId="627" applyFont="1" applyBorder="1" applyAlignment="1">
      <alignment horizontal="centerContinuous"/>
    </xf>
    <xf numFmtId="0" fontId="73" fillId="0" borderId="0" xfId="629" applyFont="1" applyAlignment="1">
      <alignment horizontal="centerContinuous"/>
    </xf>
    <xf numFmtId="0" fontId="61" fillId="0" borderId="0" xfId="629" applyFont="1" applyFill="1" applyAlignment="1">
      <alignment horizontal="centerContinuous" vertical="center"/>
    </xf>
    <xf numFmtId="166" fontId="61" fillId="0" borderId="0" xfId="417" applyNumberFormat="1" applyFont="1" applyFill="1" applyAlignment="1">
      <alignment horizontal="centerContinuous" vertical="center"/>
    </xf>
    <xf numFmtId="166" fontId="61" fillId="0" borderId="0" xfId="373" applyNumberFormat="1" applyFont="1" applyFill="1" applyAlignment="1">
      <alignment horizontal="centerContinuous" vertical="center"/>
    </xf>
    <xf numFmtId="43" fontId="61" fillId="0" borderId="0" xfId="373" applyFont="1" applyFill="1" applyAlignment="1">
      <alignment horizontal="centerContinuous" vertical="center"/>
    </xf>
    <xf numFmtId="43" fontId="61" fillId="0" borderId="0" xfId="373" applyFont="1" applyFill="1" applyAlignment="1">
      <alignment horizontal="centerContinuous"/>
    </xf>
    <xf numFmtId="0" fontId="61" fillId="0" borderId="0" xfId="639" quotePrefix="1" applyFont="1" applyFill="1" applyAlignment="1">
      <alignment horizontal="centerContinuous"/>
    </xf>
    <xf numFmtId="0" fontId="59" fillId="0" borderId="0" xfId="631" applyNumberFormat="1" applyFont="1" applyBorder="1" applyAlignment="1">
      <alignment horizontal="centerContinuous"/>
    </xf>
    <xf numFmtId="0" fontId="74" fillId="0" borderId="0" xfId="629" applyFont="1" applyFill="1" applyAlignment="1">
      <alignment horizontal="centerContinuous"/>
    </xf>
    <xf numFmtId="0" fontId="73" fillId="0" borderId="0" xfId="629" applyFont="1" applyFill="1" applyAlignment="1">
      <alignment horizontal="centerContinuous"/>
    </xf>
    <xf numFmtId="0" fontId="77" fillId="0" borderId="0" xfId="0" applyFont="1" applyBorder="1" applyAlignment="1">
      <alignment horizontal="center" vertical="center" wrapText="1"/>
    </xf>
    <xf numFmtId="0" fontId="75" fillId="0" borderId="0" xfId="0" applyFont="1" applyBorder="1" applyAlignment="1">
      <alignment horizontal="center" vertical="center" wrapText="1"/>
    </xf>
    <xf numFmtId="43" fontId="74" fillId="0" borderId="0" xfId="373" applyFont="1" applyAlignment="1">
      <alignment horizontal="centerContinuous" vertical="center"/>
    </xf>
    <xf numFmtId="43" fontId="74" fillId="0" borderId="0" xfId="373" quotePrefix="1" applyFont="1" applyAlignment="1">
      <alignment horizontal="centerContinuous"/>
    </xf>
    <xf numFmtId="43" fontId="73" fillId="0" borderId="0" xfId="373" quotePrefix="1" applyFont="1" applyAlignment="1">
      <alignment horizontal="centerContinuous"/>
    </xf>
    <xf numFmtId="43" fontId="73" fillId="0" borderId="0" xfId="373" applyFont="1" applyAlignment="1">
      <alignment horizontal="centerContinuous"/>
    </xf>
    <xf numFmtId="43" fontId="73" fillId="0" borderId="23" xfId="373" applyFont="1" applyBorder="1" applyAlignment="1">
      <alignment horizontal="centerContinuous"/>
    </xf>
    <xf numFmtId="43" fontId="73" fillId="0" borderId="21" xfId="373" applyFont="1" applyBorder="1" applyAlignment="1">
      <alignment horizontal="centerContinuous"/>
    </xf>
    <xf numFmtId="166" fontId="79" fillId="0" borderId="0" xfId="373" applyNumberFormat="1" applyFont="1" applyFill="1" applyBorder="1" applyAlignment="1"/>
    <xf numFmtId="0" fontId="73" fillId="0" borderId="23" xfId="629" applyFont="1" applyBorder="1" applyAlignment="1">
      <alignment horizontal="centerContinuous"/>
    </xf>
    <xf numFmtId="0" fontId="73" fillId="0" borderId="21" xfId="629" applyFont="1" applyBorder="1" applyAlignment="1">
      <alignment horizontal="centerContinuous"/>
    </xf>
    <xf numFmtId="43" fontId="73" fillId="0" borderId="0" xfId="373" applyFont="1" applyBorder="1" applyAlignment="1">
      <alignment horizontal="centerContinuous"/>
    </xf>
    <xf numFmtId="0" fontId="73" fillId="0" borderId="0" xfId="629" applyFont="1" applyBorder="1" applyAlignment="1">
      <alignment horizontal="centerContinuous"/>
    </xf>
    <xf numFmtId="0" fontId="73" fillId="0" borderId="0" xfId="629" applyFont="1" applyAlignment="1">
      <alignment horizontal="left" indent="1"/>
    </xf>
    <xf numFmtId="166" fontId="78" fillId="0" borderId="0" xfId="360" applyNumberFormat="1" applyFont="1"/>
    <xf numFmtId="166" fontId="73" fillId="0" borderId="0" xfId="373" quotePrefix="1" applyNumberFormat="1" applyFont="1" applyAlignment="1">
      <alignment horizontal="centerContinuous"/>
    </xf>
    <xf numFmtId="166" fontId="73" fillId="0" borderId="0" xfId="373" applyNumberFormat="1" applyFont="1" applyAlignment="1">
      <alignment horizontal="centerContinuous"/>
    </xf>
    <xf numFmtId="166" fontId="73" fillId="0" borderId="23" xfId="373" applyNumberFormat="1" applyFont="1" applyBorder="1" applyAlignment="1">
      <alignment horizontal="centerContinuous"/>
    </xf>
    <xf numFmtId="166" fontId="73" fillId="0" borderId="21" xfId="373" applyNumberFormat="1" applyFont="1" applyBorder="1" applyAlignment="1">
      <alignment horizontal="centerContinuous"/>
    </xf>
    <xf numFmtId="169" fontId="73" fillId="0" borderId="0" xfId="629" applyNumberFormat="1" applyFont="1"/>
    <xf numFmtId="9" fontId="73" fillId="0" borderId="0" xfId="675" applyFont="1"/>
    <xf numFmtId="9" fontId="73" fillId="0" borderId="0" xfId="675" applyNumberFormat="1" applyFont="1"/>
    <xf numFmtId="0" fontId="59" fillId="0" borderId="0" xfId="627" applyFont="1" applyFill="1" applyAlignment="1">
      <alignment horizontal="centerContinuous"/>
    </xf>
    <xf numFmtId="0" fontId="59" fillId="0" borderId="22" xfId="627" applyFont="1" applyFill="1" applyBorder="1" applyAlignment="1">
      <alignment horizontal="centerContinuous"/>
    </xf>
    <xf numFmtId="0" fontId="59" fillId="0" borderId="0" xfId="627" applyFont="1" applyFill="1" applyAlignment="1"/>
    <xf numFmtId="0" fontId="73" fillId="0" borderId="23" xfId="629" applyFont="1" applyFill="1" applyBorder="1" applyAlignment="1">
      <alignment horizontal="centerContinuous"/>
    </xf>
    <xf numFmtId="0" fontId="73" fillId="0" borderId="0" xfId="629" applyFont="1" applyFill="1" applyBorder="1" applyAlignment="1">
      <alignment horizontal="centerContinuous"/>
    </xf>
    <xf numFmtId="0" fontId="73" fillId="0" borderId="21" xfId="629" applyFont="1" applyFill="1" applyBorder="1" applyAlignment="1">
      <alignment horizontal="centerContinuous"/>
    </xf>
    <xf numFmtId="0" fontId="78" fillId="0" borderId="0" xfId="629" applyFont="1" applyAlignment="1">
      <alignment horizontal="left" indent="1"/>
    </xf>
    <xf numFmtId="166" fontId="73" fillId="0" borderId="0" xfId="360" applyNumberFormat="1" applyFont="1"/>
    <xf numFmtId="0" fontId="72" fillId="0" borderId="0" xfId="629" applyFont="1" applyFill="1" applyAlignment="1">
      <alignment horizontal="left" vertical="center"/>
    </xf>
    <xf numFmtId="0" fontId="61" fillId="0" borderId="0" xfId="629" applyFont="1" applyFill="1" applyAlignment="1">
      <alignment horizontal="left"/>
    </xf>
    <xf numFmtId="166" fontId="61" fillId="0" borderId="0" xfId="373" applyNumberFormat="1" applyFont="1" applyFill="1" applyAlignment="1">
      <alignment horizontal="left"/>
    </xf>
    <xf numFmtId="0" fontId="74" fillId="0" borderId="0" xfId="629" applyFont="1" applyFill="1" applyAlignment="1">
      <alignment horizontal="left"/>
    </xf>
    <xf numFmtId="166" fontId="81" fillId="0" borderId="1" xfId="417" applyNumberFormat="1" applyFont="1" applyFill="1" applyBorder="1" applyAlignment="1">
      <alignment horizontal="center" vertical="center" wrapText="1"/>
    </xf>
    <xf numFmtId="166" fontId="81" fillId="0" borderId="1" xfId="373" applyNumberFormat="1" applyFont="1" applyFill="1" applyBorder="1" applyAlignment="1">
      <alignment horizontal="center" vertical="center" wrapText="1"/>
    </xf>
    <xf numFmtId="166" fontId="82" fillId="0" borderId="1" xfId="360" applyNumberFormat="1" applyFont="1" applyFill="1" applyBorder="1" applyAlignment="1">
      <alignment horizontal="center" vertical="center" wrapText="1"/>
    </xf>
    <xf numFmtId="166" fontId="81" fillId="0" borderId="0" xfId="417" applyNumberFormat="1" applyFont="1" applyFill="1" applyBorder="1" applyAlignment="1">
      <alignment horizontal="center" vertical="center" wrapText="1"/>
    </xf>
    <xf numFmtId="166" fontId="81" fillId="0" borderId="0" xfId="373" applyNumberFormat="1" applyFont="1" applyFill="1" applyBorder="1" applyAlignment="1">
      <alignment horizontal="center" vertical="center" wrapText="1"/>
    </xf>
    <xf numFmtId="0" fontId="83" fillId="0" borderId="0" xfId="629" applyFont="1"/>
    <xf numFmtId="166" fontId="83" fillId="0" borderId="0" xfId="360" applyNumberFormat="1" applyFont="1"/>
    <xf numFmtId="0" fontId="83" fillId="0" borderId="0" xfId="629" applyFont="1" applyFill="1"/>
    <xf numFmtId="0" fontId="83" fillId="0" borderId="0" xfId="629" applyFont="1" applyAlignment="1"/>
    <xf numFmtId="166" fontId="83" fillId="0" borderId="0" xfId="373" applyNumberFormat="1" applyFont="1" applyFill="1" applyAlignment="1"/>
    <xf numFmtId="192" fontId="83" fillId="0" borderId="0" xfId="360" applyNumberFormat="1" applyFont="1"/>
    <xf numFmtId="0" fontId="83" fillId="30" borderId="0" xfId="629" applyFont="1" applyFill="1"/>
    <xf numFmtId="0" fontId="83" fillId="0" borderId="0" xfId="629" applyFont="1" applyFill="1" applyAlignment="1"/>
    <xf numFmtId="0" fontId="82" fillId="0" borderId="0" xfId="629" applyFont="1" applyFill="1" applyAlignment="1"/>
    <xf numFmtId="166" fontId="82" fillId="22" borderId="7" xfId="373" applyNumberFormat="1" applyFont="1" applyFill="1" applyBorder="1" applyAlignment="1"/>
    <xf numFmtId="166" fontId="82" fillId="0" borderId="0" xfId="373" applyNumberFormat="1" applyFont="1" applyFill="1" applyAlignment="1"/>
    <xf numFmtId="0" fontId="83" fillId="0" borderId="0" xfId="629" applyFont="1" applyFill="1" applyAlignment="1">
      <alignment horizontal="left"/>
    </xf>
    <xf numFmtId="0" fontId="82" fillId="0" borderId="0" xfId="629" applyFont="1" applyFill="1" applyBorder="1" applyAlignment="1">
      <alignment horizontal="left" vertical="center"/>
    </xf>
    <xf numFmtId="0" fontId="82" fillId="0" borderId="0" xfId="629" applyFont="1" applyFill="1" applyAlignment="1">
      <alignment horizontal="left"/>
    </xf>
    <xf numFmtId="0" fontId="83" fillId="31" borderId="0" xfId="629" applyFont="1" applyFill="1" applyAlignment="1"/>
    <xf numFmtId="0" fontId="83" fillId="32" borderId="0" xfId="629" applyFont="1" applyFill="1" applyAlignment="1"/>
    <xf numFmtId="0" fontId="82" fillId="0" borderId="0" xfId="629" applyFont="1" applyFill="1" applyBorder="1" applyAlignment="1">
      <alignment horizontal="centerContinuous" vertical="center"/>
    </xf>
    <xf numFmtId="166" fontId="82" fillId="0" borderId="0" xfId="373" applyNumberFormat="1" applyFont="1" applyFill="1" applyAlignment="1">
      <alignment horizontal="centerContinuous"/>
    </xf>
    <xf numFmtId="0" fontId="82" fillId="0" borderId="1" xfId="629" applyFont="1" applyBorder="1" applyAlignment="1">
      <alignment horizontal="center" vertical="center" wrapText="1"/>
    </xf>
    <xf numFmtId="43" fontId="82" fillId="0" borderId="1" xfId="360" applyNumberFormat="1" applyFont="1" applyBorder="1" applyAlignment="1">
      <alignment horizontal="center" vertical="center" wrapText="1"/>
    </xf>
    <xf numFmtId="166" fontId="82" fillId="0" borderId="1" xfId="360" applyNumberFormat="1" applyFont="1" applyBorder="1" applyAlignment="1">
      <alignment horizontal="center" vertical="center" wrapText="1"/>
    </xf>
    <xf numFmtId="0" fontId="82" fillId="0" borderId="0" xfId="629" applyFont="1" applyAlignment="1">
      <alignment horizontal="center" vertical="center" wrapText="1"/>
    </xf>
    <xf numFmtId="166" fontId="82" fillId="0" borderId="0" xfId="360" applyNumberFormat="1" applyFont="1" applyAlignment="1">
      <alignment horizontal="center" vertical="center" wrapText="1"/>
    </xf>
    <xf numFmtId="0" fontId="82" fillId="0" borderId="0" xfId="629" applyFont="1" applyFill="1" applyAlignment="1">
      <alignment horizontal="center" vertical="center" wrapText="1"/>
    </xf>
    <xf numFmtId="166" fontId="79" fillId="0" borderId="7" xfId="373" applyNumberFormat="1" applyFont="1" applyFill="1" applyBorder="1" applyAlignment="1"/>
    <xf numFmtId="43" fontId="79" fillId="0" borderId="7" xfId="373" applyNumberFormat="1" applyFont="1" applyFill="1" applyBorder="1" applyAlignment="1"/>
    <xf numFmtId="0" fontId="59" fillId="0" borderId="0" xfId="631" applyFont="1" applyFill="1" applyAlignment="1">
      <alignment horizontal="left" indent="1"/>
    </xf>
    <xf numFmtId="49" fontId="61" fillId="0" borderId="0" xfId="0" applyNumberFormat="1" applyFont="1" applyFill="1" applyAlignment="1" applyProtection="1">
      <alignment horizontal="left"/>
    </xf>
    <xf numFmtId="166" fontId="73" fillId="0" borderId="0" xfId="373" applyNumberFormat="1" applyFont="1" applyBorder="1" applyAlignment="1">
      <alignment horizontal="centerContinuous"/>
    </xf>
    <xf numFmtId="2" fontId="61" fillId="0" borderId="0" xfId="634" applyNumberFormat="1" applyFont="1" applyFill="1" applyAlignment="1">
      <alignment horizontal="left" vertical="top"/>
    </xf>
    <xf numFmtId="43" fontId="74" fillId="0" borderId="0" xfId="373" applyFont="1" applyAlignment="1">
      <alignment horizontal="centerContinuous"/>
    </xf>
    <xf numFmtId="166" fontId="61" fillId="0" borderId="0" xfId="634" applyNumberFormat="1" applyFont="1" applyFill="1" applyAlignment="1">
      <alignment horizontal="centerContinuous" vertical="center"/>
    </xf>
    <xf numFmtId="43" fontId="78" fillId="0" borderId="0" xfId="629" applyNumberFormat="1" applyFont="1" applyFill="1"/>
    <xf numFmtId="0" fontId="84" fillId="0" borderId="1" xfId="629" applyFont="1" applyFill="1" applyBorder="1"/>
    <xf numFmtId="0" fontId="0" fillId="0" borderId="0" xfId="0" applyAlignment="1">
      <alignment horizontal="left" indent="2"/>
    </xf>
    <xf numFmtId="0" fontId="0" fillId="0" borderId="0" xfId="0" applyAlignment="1">
      <alignment horizontal="left"/>
    </xf>
    <xf numFmtId="0" fontId="0" fillId="0" borderId="0" xfId="0" applyAlignment="1">
      <alignment horizontal="right" indent="2"/>
    </xf>
    <xf numFmtId="0" fontId="16" fillId="0" borderId="0" xfId="0" applyFont="1" applyAlignment="1"/>
    <xf numFmtId="15" fontId="16" fillId="0" borderId="0" xfId="0" applyNumberFormat="1" applyFont="1" applyAlignment="1"/>
    <xf numFmtId="0" fontId="80" fillId="0" borderId="0" xfId="0" applyFont="1" applyAlignment="1"/>
    <xf numFmtId="41" fontId="0" fillId="0" borderId="0" xfId="360" applyNumberFormat="1" applyFont="1"/>
    <xf numFmtId="0" fontId="0" fillId="0" borderId="1" xfId="0" applyBorder="1" applyAlignment="1"/>
    <xf numFmtId="41" fontId="0" fillId="0" borderId="1" xfId="360" applyNumberFormat="1" applyFont="1" applyBorder="1"/>
    <xf numFmtId="0" fontId="0" fillId="0" borderId="1" xfId="0" applyBorder="1" applyAlignment="1">
      <alignment horizontal="center"/>
    </xf>
    <xf numFmtId="0" fontId="0" fillId="0" borderId="1" xfId="0" applyBorder="1" applyAlignment="1">
      <alignment horizontal="center" vertical="center" wrapText="1" shrinkToFit="1"/>
    </xf>
    <xf numFmtId="10" fontId="83" fillId="0" borderId="0" xfId="675" applyNumberFormat="1" applyFont="1" applyFill="1"/>
    <xf numFmtId="43" fontId="79" fillId="0" borderId="0" xfId="373" applyNumberFormat="1" applyFont="1" applyFill="1" applyBorder="1" applyAlignment="1"/>
    <xf numFmtId="43" fontId="78" fillId="0" borderId="0" xfId="373" applyFont="1" applyFill="1" applyBorder="1" applyAlignment="1"/>
    <xf numFmtId="188" fontId="79" fillId="0" borderId="7" xfId="373" applyNumberFormat="1" applyFont="1" applyFill="1" applyBorder="1" applyAlignment="1"/>
    <xf numFmtId="0" fontId="84" fillId="0" borderId="29" xfId="629" applyFont="1" applyFill="1" applyBorder="1"/>
    <xf numFmtId="2" fontId="59" fillId="0" borderId="22" xfId="626" applyNumberFormat="1" applyFont="1" applyFill="1" applyBorder="1"/>
    <xf numFmtId="0" fontId="61" fillId="0" borderId="0" xfId="626" applyFont="1" applyFill="1" applyBorder="1" applyAlignment="1"/>
    <xf numFmtId="43" fontId="59" fillId="0" borderId="0" xfId="633" applyNumberFormat="1" applyFont="1" applyFill="1" applyBorder="1"/>
    <xf numFmtId="43" fontId="61" fillId="0" borderId="0" xfId="633" applyNumberFormat="1" applyFont="1" applyFill="1" applyBorder="1"/>
    <xf numFmtId="0" fontId="59" fillId="0" borderId="0" xfId="633" applyFont="1" applyFill="1" applyBorder="1"/>
    <xf numFmtId="166" fontId="64" fillId="0" borderId="0" xfId="633" applyNumberFormat="1" applyFont="1" applyFill="1" applyBorder="1"/>
    <xf numFmtId="0" fontId="61" fillId="0" borderId="0" xfId="360" applyNumberFormat="1" applyFont="1" applyFill="1" applyAlignment="1">
      <alignment horizontal="left" vertical="top"/>
    </xf>
    <xf numFmtId="0" fontId="61" fillId="0" borderId="0" xfId="641" applyFont="1" applyFill="1" applyAlignment="1">
      <alignment vertical="top"/>
    </xf>
    <xf numFmtId="0" fontId="59" fillId="0" borderId="0" xfId="641" applyNumberFormat="1" applyFont="1" applyFill="1" applyAlignment="1">
      <alignment vertical="top"/>
    </xf>
    <xf numFmtId="0" fontId="59" fillId="0" borderId="0" xfId="641" applyFont="1" applyFill="1" applyBorder="1" applyAlignment="1">
      <alignment vertical="top"/>
    </xf>
    <xf numFmtId="0" fontId="59" fillId="0" borderId="0" xfId="641" applyFont="1" applyFill="1" applyAlignment="1">
      <alignment vertical="top"/>
    </xf>
    <xf numFmtId="0" fontId="61" fillId="0" borderId="0" xfId="641" applyFont="1" applyFill="1" applyAlignment="1">
      <alignment horizontal="centerContinuous"/>
    </xf>
    <xf numFmtId="0" fontId="59" fillId="0" borderId="0" xfId="641" applyFont="1" applyFill="1"/>
    <xf numFmtId="194" fontId="59" fillId="0" borderId="0" xfId="641" applyNumberFormat="1" applyFont="1" applyFill="1" applyAlignment="1">
      <alignment vertical="top"/>
    </xf>
    <xf numFmtId="0" fontId="61" fillId="0" borderId="0" xfId="641" applyFont="1" applyFill="1" applyBorder="1" applyAlignment="1"/>
    <xf numFmtId="41" fontId="59" fillId="0" borderId="0" xfId="360" applyNumberFormat="1" applyFont="1" applyFill="1" applyAlignment="1">
      <alignment horizontal="left"/>
    </xf>
    <xf numFmtId="0" fontId="61" fillId="0" borderId="0" xfId="641" applyNumberFormat="1" applyFont="1" applyFill="1" applyAlignment="1">
      <alignment vertical="top"/>
    </xf>
    <xf numFmtId="0" fontId="59" fillId="0" borderId="0" xfId="641" applyNumberFormat="1" applyFont="1" applyFill="1" applyAlignment="1">
      <alignment vertical="center"/>
    </xf>
    <xf numFmtId="37" fontId="59" fillId="0" borderId="22" xfId="641" applyNumberFormat="1" applyFont="1" applyFill="1" applyBorder="1" applyAlignment="1">
      <alignment horizontal="right" vertical="center" wrapText="1"/>
    </xf>
    <xf numFmtId="37" fontId="59" fillId="0" borderId="0" xfId="641" applyNumberFormat="1" applyFont="1" applyFill="1" applyAlignment="1">
      <alignment horizontal="right" vertical="center" wrapText="1"/>
    </xf>
    <xf numFmtId="0" fontId="59" fillId="0" borderId="0" xfId="641" applyNumberFormat="1" applyFont="1" applyFill="1" applyAlignment="1">
      <alignment horizontal="justify" vertical="center" wrapText="1"/>
    </xf>
    <xf numFmtId="193" fontId="59" fillId="0" borderId="22" xfId="641" applyNumberFormat="1" applyFont="1" applyFill="1" applyBorder="1" applyAlignment="1">
      <alignment horizontal="right" vertical="center" wrapText="1"/>
    </xf>
    <xf numFmtId="43" fontId="59" fillId="0" borderId="0" xfId="360" applyFont="1"/>
    <xf numFmtId="166" fontId="30" fillId="0" borderId="0" xfId="360" applyNumberFormat="1" applyFont="1" applyFill="1"/>
    <xf numFmtId="0" fontId="59" fillId="0" borderId="0" xfId="641" applyFont="1" applyFill="1" applyAlignment="1">
      <alignment horizontal="centerContinuous"/>
    </xf>
    <xf numFmtId="0" fontId="61" fillId="0" borderId="0" xfId="641" applyFont="1" applyFill="1" applyBorder="1" applyAlignment="1">
      <alignment horizontal="center"/>
    </xf>
    <xf numFmtId="49" fontId="61" fillId="0" borderId="0" xfId="641" quotePrefix="1" applyNumberFormat="1" applyFont="1" applyFill="1" applyAlignment="1">
      <alignment horizontal="left" vertical="top"/>
    </xf>
    <xf numFmtId="0" fontId="61" fillId="0" borderId="0" xfId="641" applyFont="1" applyFill="1" applyAlignment="1">
      <alignment horizontal="left" vertical="top"/>
    </xf>
    <xf numFmtId="1" fontId="59" fillId="0" borderId="0" xfId="626" applyNumberFormat="1" applyFont="1" applyFill="1" applyAlignment="1">
      <alignment horizontal="center"/>
    </xf>
    <xf numFmtId="0" fontId="61" fillId="0" borderId="0" xfId="626" applyFont="1" applyFill="1" applyAlignment="1">
      <alignment horizontal="centerContinuous"/>
    </xf>
    <xf numFmtId="1" fontId="61" fillId="0" borderId="0" xfId="360" applyNumberFormat="1" applyFont="1" applyFill="1" applyAlignment="1">
      <alignment horizontal="left"/>
    </xf>
    <xf numFmtId="37" fontId="59" fillId="0" borderId="0" xfId="641" applyNumberFormat="1" applyFont="1" applyFill="1" applyBorder="1" applyAlignment="1">
      <alignment horizontal="right" vertical="center" wrapText="1"/>
    </xf>
    <xf numFmtId="193" fontId="59" fillId="0" borderId="0" xfId="641" applyNumberFormat="1" applyFont="1" applyFill="1" applyBorder="1" applyAlignment="1">
      <alignment horizontal="right" vertical="center" wrapText="1"/>
    </xf>
    <xf numFmtId="1" fontId="61" fillId="0" borderId="0" xfId="360" applyNumberFormat="1" applyFont="1" applyFill="1" applyAlignment="1">
      <alignment horizontal="left" vertical="top"/>
    </xf>
    <xf numFmtId="0" fontId="59" fillId="0" borderId="0" xfId="0" applyFont="1" applyAlignment="1">
      <alignment horizontal="left"/>
    </xf>
    <xf numFmtId="49" fontId="59" fillId="0" borderId="0" xfId="641" applyNumberFormat="1" applyFont="1" applyFill="1" applyAlignment="1">
      <alignment horizontal="left" vertical="top"/>
    </xf>
    <xf numFmtId="49" fontId="61" fillId="0" borderId="0" xfId="641" applyNumberFormat="1" applyFont="1" applyFill="1" applyAlignment="1">
      <alignment horizontal="left" vertical="top"/>
    </xf>
    <xf numFmtId="1" fontId="61" fillId="0" borderId="0" xfId="635" applyNumberFormat="1" applyFont="1" applyFill="1" applyAlignment="1">
      <alignment horizontal="left" vertical="top"/>
    </xf>
    <xf numFmtId="0" fontId="61" fillId="0" borderId="0" xfId="635" applyNumberFormat="1" applyFont="1" applyFill="1" applyAlignment="1">
      <alignment horizontal="left" vertical="top"/>
    </xf>
    <xf numFmtId="170" fontId="61" fillId="0" borderId="0" xfId="360" applyNumberFormat="1" applyFont="1" applyFill="1" applyAlignment="1">
      <alignment horizontal="left"/>
    </xf>
    <xf numFmtId="166" fontId="63" fillId="0" borderId="0" xfId="633" applyNumberFormat="1" applyFont="1" applyFill="1"/>
    <xf numFmtId="0" fontId="61" fillId="0" borderId="0" xfId="0" applyNumberFormat="1" applyFont="1" applyFill="1" applyAlignment="1" applyProtection="1">
      <alignment vertical="top"/>
    </xf>
    <xf numFmtId="166" fontId="61" fillId="0" borderId="0" xfId="626" applyNumberFormat="1" applyFont="1" applyFill="1" applyBorder="1" applyAlignment="1"/>
    <xf numFmtId="166" fontId="59" fillId="0" borderId="0" xfId="633" applyNumberFormat="1" applyFont="1" applyFill="1" applyBorder="1"/>
    <xf numFmtId="0" fontId="30" fillId="0" borderId="0" xfId="626" applyFont="1" applyFill="1"/>
    <xf numFmtId="0" fontId="30" fillId="0" borderId="0" xfId="0" applyFont="1" applyAlignment="1">
      <alignment horizontal="center" vertical="top" wrapText="1"/>
    </xf>
    <xf numFmtId="166" fontId="30" fillId="0" borderId="18" xfId="360" applyNumberFormat="1" applyFont="1" applyFill="1" applyBorder="1"/>
    <xf numFmtId="166" fontId="30" fillId="0" borderId="19" xfId="360" applyNumberFormat="1" applyFont="1" applyFill="1" applyBorder="1"/>
    <xf numFmtId="0" fontId="30" fillId="0" borderId="0" xfId="626" applyFont="1" applyFill="1" applyAlignment="1">
      <alignment horizontal="center"/>
    </xf>
    <xf numFmtId="166" fontId="30" fillId="0" borderId="20" xfId="360" applyNumberFormat="1" applyFont="1" applyFill="1" applyBorder="1"/>
    <xf numFmtId="166" fontId="30" fillId="0" borderId="20" xfId="626" applyNumberFormat="1" applyFont="1" applyFill="1" applyBorder="1"/>
    <xf numFmtId="166" fontId="30" fillId="0" borderId="0" xfId="360" applyNumberFormat="1" applyFont="1" applyFill="1" applyBorder="1"/>
    <xf numFmtId="0" fontId="81" fillId="0" borderId="0" xfId="626" applyFont="1" applyFill="1"/>
    <xf numFmtId="166" fontId="30" fillId="0" borderId="2" xfId="360" applyNumberFormat="1" applyFont="1" applyFill="1" applyBorder="1"/>
    <xf numFmtId="166" fontId="30" fillId="0" borderId="23" xfId="360" applyNumberFormat="1" applyFont="1" applyFill="1" applyBorder="1"/>
    <xf numFmtId="166" fontId="30" fillId="0" borderId="23" xfId="360" applyNumberFormat="1" applyFont="1" applyBorder="1"/>
    <xf numFmtId="0" fontId="30" fillId="0" borderId="0" xfId="626" applyFont="1" applyFill="1" applyAlignment="1">
      <alignment horizontal="left"/>
    </xf>
    <xf numFmtId="0" fontId="30" fillId="0" borderId="0" xfId="626" applyFont="1" applyFill="1" applyAlignment="1">
      <alignment horizontal="left" indent="1"/>
    </xf>
    <xf numFmtId="166" fontId="30" fillId="0" borderId="21" xfId="626" applyNumberFormat="1" applyFont="1" applyFill="1" applyBorder="1"/>
    <xf numFmtId="0" fontId="30" fillId="0" borderId="0" xfId="633" applyFont="1" applyFill="1"/>
    <xf numFmtId="0" fontId="81" fillId="0" borderId="0" xfId="633" applyFont="1" applyFill="1"/>
    <xf numFmtId="0" fontId="30" fillId="0" borderId="0" xfId="633" applyFont="1" applyFill="1" applyAlignment="1">
      <alignment horizontal="left"/>
    </xf>
    <xf numFmtId="166" fontId="30" fillId="0" borderId="0" xfId="360" applyNumberFormat="1" applyFont="1" applyFill="1" applyAlignment="1"/>
    <xf numFmtId="166" fontId="30" fillId="0" borderId="0" xfId="360" applyNumberFormat="1" applyFont="1" applyFill="1" applyBorder="1" applyAlignment="1"/>
    <xf numFmtId="166" fontId="30" fillId="0" borderId="18" xfId="360" applyNumberFormat="1" applyFont="1" applyFill="1" applyBorder="1" applyAlignment="1"/>
    <xf numFmtId="166" fontId="81" fillId="0" borderId="0" xfId="360" applyNumberFormat="1" applyFont="1" applyFill="1" applyBorder="1" applyAlignment="1"/>
    <xf numFmtId="166" fontId="30" fillId="0" borderId="19" xfId="360" applyNumberFormat="1" applyFont="1" applyFill="1" applyBorder="1" applyAlignment="1"/>
    <xf numFmtId="166" fontId="30" fillId="0" borderId="20" xfId="360" applyNumberFormat="1" applyFont="1" applyFill="1" applyBorder="1" applyAlignment="1"/>
    <xf numFmtId="0" fontId="30" fillId="0" borderId="0" xfId="0" applyFont="1" applyFill="1" applyAlignment="1"/>
    <xf numFmtId="166" fontId="30" fillId="0" borderId="2" xfId="382" applyNumberFormat="1" applyFont="1" applyFill="1" applyBorder="1" applyAlignment="1" applyProtection="1">
      <alignment horizontal="right"/>
    </xf>
    <xf numFmtId="166" fontId="30" fillId="0" borderId="0" xfId="360" applyNumberFormat="1" applyFont="1" applyFill="1" applyAlignment="1">
      <alignment horizontal="right"/>
    </xf>
    <xf numFmtId="0" fontId="30" fillId="0" borderId="0" xfId="626" applyFont="1" applyFill="1" applyAlignment="1">
      <alignment horizontal="left" indent="2"/>
    </xf>
    <xf numFmtId="43" fontId="30" fillId="0" borderId="20" xfId="360" applyFont="1" applyFill="1" applyBorder="1"/>
    <xf numFmtId="0" fontId="30" fillId="0" borderId="0" xfId="626" applyFont="1" applyFill="1" applyAlignment="1"/>
    <xf numFmtId="166" fontId="81" fillId="0" borderId="0" xfId="626" applyNumberFormat="1" applyFont="1" applyFill="1" applyBorder="1"/>
    <xf numFmtId="15" fontId="61" fillId="0" borderId="0" xfId="633" applyNumberFormat="1" applyFont="1" applyFill="1" applyBorder="1" applyAlignment="1">
      <alignment horizontal="centerContinuous"/>
    </xf>
    <xf numFmtId="0" fontId="59" fillId="0" borderId="0" xfId="633" applyFont="1" applyFill="1" applyBorder="1" applyAlignment="1">
      <alignment horizontal="centerContinuous"/>
    </xf>
    <xf numFmtId="166" fontId="59" fillId="0" borderId="0" xfId="360" applyNumberFormat="1" applyFont="1" applyFill="1" applyBorder="1" applyAlignment="1">
      <alignment horizontal="centerContinuous"/>
    </xf>
    <xf numFmtId="0" fontId="30" fillId="0" borderId="0" xfId="0" applyFont="1" applyAlignment="1"/>
    <xf numFmtId="0" fontId="30" fillId="0" borderId="0" xfId="641" applyFont="1" applyFill="1" applyAlignment="1">
      <alignment horizontal="left" vertical="top"/>
    </xf>
    <xf numFmtId="0" fontId="81" fillId="0" borderId="0" xfId="641" applyFont="1" applyFill="1" applyAlignment="1">
      <alignment horizontal="left" vertical="top"/>
    </xf>
    <xf numFmtId="0" fontId="30" fillId="0" borderId="0" xfId="641" applyFont="1" applyFill="1" applyAlignment="1">
      <alignment horizontal="left" vertical="top" indent="1"/>
    </xf>
    <xf numFmtId="0" fontId="59" fillId="0" borderId="0" xfId="626" applyNumberFormat="1" applyFont="1" applyFill="1" applyAlignment="1">
      <alignment horizontal="left"/>
    </xf>
    <xf numFmtId="0" fontId="64" fillId="0" borderId="0" xfId="633" applyFont="1" applyFill="1" applyAlignment="1">
      <alignment horizontal="centerContinuous"/>
    </xf>
    <xf numFmtId="0" fontId="81" fillId="0" borderId="0" xfId="641" applyFont="1" applyFill="1" applyAlignment="1">
      <alignment horizontal="left" vertical="top" indent="1"/>
    </xf>
    <xf numFmtId="0" fontId="88" fillId="0" borderId="0" xfId="626" applyFont="1" applyFill="1" applyAlignment="1"/>
    <xf numFmtId="0" fontId="88" fillId="0" borderId="0" xfId="626" applyFont="1" applyFill="1" applyAlignment="1">
      <alignment horizontal="center" vertical="center" wrapText="1"/>
    </xf>
    <xf numFmtId="166" fontId="88" fillId="0" borderId="0" xfId="626" applyNumberFormat="1" applyFont="1" applyFill="1" applyAlignment="1"/>
    <xf numFmtId="166" fontId="89" fillId="0" borderId="0" xfId="360" applyNumberFormat="1" applyFont="1" applyFill="1" applyAlignment="1"/>
    <xf numFmtId="166" fontId="90" fillId="0" borderId="0" xfId="360" applyNumberFormat="1" applyFont="1" applyFill="1" applyAlignment="1"/>
    <xf numFmtId="0" fontId="89" fillId="0" borderId="0" xfId="626" applyFont="1" applyFill="1" applyAlignment="1"/>
    <xf numFmtId="0" fontId="89" fillId="0" borderId="0" xfId="626" applyFont="1" applyFill="1"/>
    <xf numFmtId="0" fontId="59" fillId="0" borderId="0" xfId="633" applyFont="1" applyFill="1" applyAlignment="1">
      <alignment horizontal="left" indent="1"/>
    </xf>
    <xf numFmtId="166" fontId="59" fillId="0" borderId="21" xfId="360" applyNumberFormat="1" applyFont="1" applyFill="1" applyBorder="1" applyAlignment="1">
      <alignment horizontal="center"/>
    </xf>
    <xf numFmtId="0" fontId="30" fillId="0" borderId="0" xfId="633" applyFont="1"/>
    <xf numFmtId="0" fontId="87" fillId="0" borderId="0" xfId="633" applyFont="1" applyFill="1"/>
    <xf numFmtId="0" fontId="30" fillId="0" borderId="0" xfId="633" applyFont="1" applyBorder="1"/>
    <xf numFmtId="166" fontId="30" fillId="0" borderId="0" xfId="360" applyNumberFormat="1" applyFont="1" applyBorder="1"/>
    <xf numFmtId="0" fontId="81" fillId="0" borderId="0" xfId="633" applyFont="1"/>
    <xf numFmtId="0" fontId="30" fillId="0" borderId="0" xfId="633" applyFont="1" applyAlignment="1">
      <alignment horizontal="left" indent="1"/>
    </xf>
    <xf numFmtId="0" fontId="30" fillId="0" borderId="0" xfId="0" applyFont="1" applyFill="1" applyAlignment="1">
      <alignment horizontal="left" vertical="center" indent="1"/>
    </xf>
    <xf numFmtId="0" fontId="30" fillId="0" borderId="0" xfId="633" applyFont="1" applyAlignment="1">
      <alignment horizontal="left" indent="2"/>
    </xf>
    <xf numFmtId="0" fontId="81" fillId="0" borderId="0" xfId="633" applyNumberFormat="1" applyFont="1"/>
    <xf numFmtId="0" fontId="81" fillId="0" borderId="0" xfId="633" applyNumberFormat="1" applyFont="1" applyFill="1"/>
    <xf numFmtId="0" fontId="87" fillId="0" borderId="0" xfId="633" applyFont="1" applyFill="1" applyBorder="1"/>
    <xf numFmtId="0" fontId="81" fillId="0" borderId="0" xfId="633" applyFont="1" applyBorder="1"/>
    <xf numFmtId="166" fontId="30" fillId="0" borderId="0" xfId="360" applyNumberFormat="1" applyFont="1"/>
    <xf numFmtId="166" fontId="30" fillId="0" borderId="21" xfId="360" applyNumberFormat="1" applyFont="1" applyBorder="1"/>
    <xf numFmtId="0" fontId="30" fillId="0" borderId="0" xfId="633" applyFont="1" applyAlignment="1">
      <alignment horizontal="center"/>
    </xf>
    <xf numFmtId="43" fontId="30" fillId="0" borderId="0" xfId="633" applyNumberFormat="1" applyFont="1" applyFill="1"/>
    <xf numFmtId="0" fontId="59" fillId="0" borderId="0" xfId="360" applyNumberFormat="1" applyFont="1" applyFill="1" applyAlignment="1">
      <alignment horizontal="centerContinuous"/>
    </xf>
    <xf numFmtId="0" fontId="59" fillId="0" borderId="0" xfId="641" applyNumberFormat="1" applyFont="1" applyFill="1" applyAlignment="1">
      <alignment horizontal="centerContinuous" vertical="top"/>
    </xf>
    <xf numFmtId="49" fontId="59" fillId="0" borderId="0" xfId="360" quotePrefix="1" applyNumberFormat="1" applyFont="1" applyFill="1" applyAlignment="1">
      <alignment vertical="center"/>
    </xf>
    <xf numFmtId="166" fontId="30" fillId="0" borderId="0" xfId="633" applyNumberFormat="1" applyFont="1" applyBorder="1"/>
    <xf numFmtId="0" fontId="59" fillId="0" borderId="0" xfId="626" applyFont="1" applyFill="1" applyAlignment="1">
      <alignment horizontal="centerContinuous"/>
    </xf>
    <xf numFmtId="0" fontId="63" fillId="0" borderId="0" xfId="626" applyFont="1" applyFill="1" applyAlignment="1">
      <alignment horizontal="centerContinuous"/>
    </xf>
    <xf numFmtId="0" fontId="59" fillId="0" borderId="0" xfId="626" applyFont="1" applyFill="1" applyBorder="1" applyAlignment="1">
      <alignment horizontal="centerContinuous"/>
    </xf>
    <xf numFmtId="0" fontId="61" fillId="0" borderId="0" xfId="626" applyFont="1" applyFill="1" applyBorder="1" applyAlignment="1">
      <alignment horizontal="centerContinuous"/>
    </xf>
    <xf numFmtId="0" fontId="61" fillId="0" borderId="0" xfId="626" applyFont="1" applyFill="1" applyBorder="1" applyAlignment="1">
      <alignment horizontal="centerContinuous" vertical="center"/>
    </xf>
    <xf numFmtId="0" fontId="30" fillId="0" borderId="0" xfId="524" applyFont="1" applyFill="1" applyAlignment="1"/>
    <xf numFmtId="0" fontId="81" fillId="0" borderId="0" xfId="0" quotePrefix="1" applyFont="1" applyAlignment="1">
      <alignment horizontal="center" vertical="top"/>
    </xf>
    <xf numFmtId="0" fontId="81" fillId="0" borderId="0" xfId="360" applyNumberFormat="1" applyFont="1" applyAlignment="1">
      <alignment horizontal="center"/>
    </xf>
    <xf numFmtId="0" fontId="62" fillId="0" borderId="0" xfId="634" applyFont="1" applyFill="1" applyAlignment="1">
      <alignment horizontal="justify" vertical="top"/>
    </xf>
    <xf numFmtId="0" fontId="59" fillId="0" borderId="0" xfId="642" applyNumberFormat="1" applyFont="1" applyFill="1" applyAlignment="1">
      <alignment horizontal="justify" vertical="top"/>
    </xf>
    <xf numFmtId="0" fontId="59" fillId="0" borderId="0" xfId="642" applyFont="1" applyFill="1" applyAlignment="1">
      <alignment horizontal="justify" vertical="top" wrapText="1"/>
    </xf>
    <xf numFmtId="0" fontId="59" fillId="0" borderId="0" xfId="0" applyNumberFormat="1" applyFont="1" applyFill="1" applyAlignment="1">
      <alignment vertical="top"/>
    </xf>
    <xf numFmtId="0" fontId="59" fillId="0" borderId="0" xfId="0" applyFont="1" applyFill="1" applyAlignment="1">
      <alignment horizontal="centerContinuous" vertical="top"/>
    </xf>
    <xf numFmtId="0" fontId="61" fillId="0" borderId="0" xfId="642" applyNumberFormat="1" applyFont="1" applyAlignment="1">
      <alignment vertical="top"/>
    </xf>
    <xf numFmtId="0" fontId="59" fillId="0" borderId="0" xfId="642" applyFont="1" applyAlignment="1">
      <alignment vertical="top"/>
    </xf>
    <xf numFmtId="0" fontId="61" fillId="0" borderId="0" xfId="642" applyFont="1" applyFill="1" applyAlignment="1">
      <alignment vertical="top"/>
    </xf>
    <xf numFmtId="43" fontId="59" fillId="0" borderId="0" xfId="642" applyNumberFormat="1" applyFont="1" applyAlignment="1">
      <alignment vertical="top"/>
    </xf>
    <xf numFmtId="0" fontId="59" fillId="0" borderId="0" xfId="642" applyNumberFormat="1" applyFont="1" applyAlignment="1">
      <alignment horizontal="justify" vertical="top"/>
    </xf>
    <xf numFmtId="0" fontId="59" fillId="0" borderId="0" xfId="632" applyFont="1" applyFill="1" applyAlignment="1"/>
    <xf numFmtId="0" fontId="59" fillId="0" borderId="0" xfId="628" applyFont="1" applyAlignment="1"/>
    <xf numFmtId="0" fontId="61" fillId="0" borderId="0" xfId="360" applyNumberFormat="1" applyFont="1" applyFill="1" applyAlignment="1">
      <alignment vertical="top"/>
    </xf>
    <xf numFmtId="43" fontId="59" fillId="0" borderId="0" xfId="642" applyNumberFormat="1" applyFont="1" applyFill="1" applyAlignment="1">
      <alignment vertical="top"/>
    </xf>
    <xf numFmtId="0" fontId="59" fillId="0" borderId="0" xfId="0" applyNumberFormat="1" applyFont="1" applyAlignment="1">
      <alignment vertical="top"/>
    </xf>
    <xf numFmtId="0" fontId="59" fillId="0" borderId="0" xfId="636" applyFont="1" applyFill="1" applyAlignment="1"/>
    <xf numFmtId="0" fontId="61" fillId="0" borderId="0" xfId="632" applyNumberFormat="1" applyFont="1" applyBorder="1" applyAlignment="1"/>
    <xf numFmtId="0" fontId="61" fillId="0" borderId="0" xfId="632" applyFont="1" applyFill="1" applyAlignment="1"/>
    <xf numFmtId="166" fontId="59" fillId="0" borderId="0" xfId="360" applyNumberFormat="1" applyFont="1" applyBorder="1" applyAlignment="1">
      <alignment horizontal="justify" vertical="top"/>
    </xf>
    <xf numFmtId="0" fontId="59" fillId="0" borderId="0" xfId="642" applyFont="1" applyFill="1"/>
    <xf numFmtId="0" fontId="59" fillId="0" borderId="0" xfId="642" applyFont="1" applyFill="1" applyBorder="1" applyAlignment="1"/>
    <xf numFmtId="0" fontId="61" fillId="0" borderId="0" xfId="642" applyFont="1" applyFill="1" applyAlignment="1">
      <alignment horizontal="center" vertical="center" wrapText="1"/>
    </xf>
    <xf numFmtId="194" fontId="61" fillId="0" borderId="0" xfId="642" applyNumberFormat="1" applyFont="1" applyFill="1" applyAlignment="1">
      <alignment horizontal="center" vertical="center" wrapText="1"/>
    </xf>
    <xf numFmtId="0" fontId="61" fillId="0" borderId="0" xfId="642" applyFont="1" applyFill="1"/>
    <xf numFmtId="0" fontId="59" fillId="0" borderId="0" xfId="642" applyFont="1" applyFill="1" applyAlignment="1">
      <alignment horizontal="justify" vertical="top"/>
    </xf>
    <xf numFmtId="194" fontId="59" fillId="0" borderId="0" xfId="642" applyNumberFormat="1" applyFont="1" applyFill="1" applyAlignment="1">
      <alignment horizontal="justify" vertical="top"/>
    </xf>
    <xf numFmtId="0" fontId="59" fillId="0" borderId="0" xfId="0" applyFont="1" applyFill="1" applyAlignment="1"/>
    <xf numFmtId="0" fontId="61" fillId="0" borderId="0" xfId="642" quotePrefix="1" applyNumberFormat="1" applyFont="1" applyAlignment="1">
      <alignment horizontal="center" vertical="top"/>
    </xf>
    <xf numFmtId="0" fontId="59" fillId="0" borderId="0" xfId="636" applyNumberFormat="1" applyFont="1" applyFill="1" applyAlignment="1">
      <alignment horizontal="center"/>
    </xf>
    <xf numFmtId="0" fontId="61" fillId="0" borderId="0" xfId="0" applyNumberFormat="1" applyFont="1" applyFill="1" applyAlignment="1">
      <alignment horizontal="left" vertical="top" indent="1"/>
    </xf>
    <xf numFmtId="0" fontId="59" fillId="0" borderId="0" xfId="0" applyFont="1" applyFill="1" applyAlignment="1">
      <alignment horizontal="left" vertical="top"/>
    </xf>
    <xf numFmtId="166" fontId="59" fillId="0" borderId="0" xfId="360" applyNumberFormat="1" applyFont="1" applyFill="1" applyAlignment="1">
      <alignment horizontal="justify" vertical="top"/>
    </xf>
    <xf numFmtId="0" fontId="59" fillId="0" borderId="0" xfId="0" applyNumberFormat="1" applyFont="1" applyFill="1" applyAlignment="1">
      <alignment horizontal="left" vertical="top"/>
    </xf>
    <xf numFmtId="166" fontId="59" fillId="0" borderId="2" xfId="360" applyNumberFormat="1" applyFont="1" applyFill="1" applyBorder="1" applyAlignment="1">
      <alignment horizontal="justify" vertical="top"/>
    </xf>
    <xf numFmtId="166" fontId="59" fillId="0" borderId="0" xfId="360" applyNumberFormat="1" applyFont="1" applyFill="1" applyBorder="1" applyAlignment="1">
      <alignment horizontal="justify" vertical="top"/>
    </xf>
    <xf numFmtId="0" fontId="59" fillId="0" borderId="0" xfId="0" applyNumberFormat="1" applyFont="1" applyFill="1" applyAlignment="1">
      <alignment horizontal="left" vertical="top" indent="1"/>
    </xf>
    <xf numFmtId="166" fontId="59" fillId="0" borderId="0" xfId="642" applyNumberFormat="1" applyFont="1" applyFill="1" applyAlignment="1">
      <alignment horizontal="justify" vertical="top"/>
    </xf>
    <xf numFmtId="166" fontId="59" fillId="0" borderId="21" xfId="642" applyNumberFormat="1" applyFont="1" applyFill="1" applyBorder="1" applyAlignment="1">
      <alignment horizontal="justify" vertical="top"/>
    </xf>
    <xf numFmtId="41" fontId="59" fillId="0" borderId="0" xfId="360" applyNumberFormat="1" applyFont="1" applyFill="1" applyAlignment="1">
      <alignment horizontal="center"/>
    </xf>
    <xf numFmtId="0" fontId="59" fillId="0" borderId="0" xfId="642" applyFont="1" applyFill="1" applyAlignment="1">
      <alignment horizontal="left" vertical="top" indent="1"/>
    </xf>
    <xf numFmtId="0" fontId="61" fillId="0" borderId="0" xfId="360" applyNumberFormat="1" applyFont="1" applyAlignment="1">
      <alignment horizontal="left" vertical="top"/>
    </xf>
    <xf numFmtId="0" fontId="61" fillId="0" borderId="0" xfId="642" quotePrefix="1" applyNumberFormat="1" applyFont="1" applyAlignment="1">
      <alignment horizontal="left" vertical="top"/>
    </xf>
    <xf numFmtId="0" fontId="59" fillId="0" borderId="0" xfId="642" applyFont="1" applyFill="1" applyAlignment="1">
      <alignment horizontal="left"/>
    </xf>
    <xf numFmtId="0" fontId="0" fillId="0" borderId="0" xfId="0" applyFill="1" applyBorder="1" applyAlignment="1"/>
    <xf numFmtId="166" fontId="59" fillId="0" borderId="0" xfId="360" applyNumberFormat="1" applyFont="1" applyAlignment="1"/>
    <xf numFmtId="0" fontId="59" fillId="0" borderId="0" xfId="640" applyFont="1" applyFill="1" applyBorder="1" applyAlignment="1"/>
    <xf numFmtId="194" fontId="59" fillId="0" borderId="0" xfId="0" applyNumberFormat="1" applyFont="1" applyFill="1" applyAlignment="1">
      <alignment horizontal="centerContinuous" vertical="top"/>
    </xf>
    <xf numFmtId="0" fontId="81" fillId="0" borderId="23" xfId="0" quotePrefix="1" applyFont="1" applyBorder="1" applyAlignment="1">
      <alignment vertical="top"/>
    </xf>
    <xf numFmtId="0" fontId="81" fillId="0" borderId="2" xfId="0" quotePrefix="1" applyFont="1" applyBorder="1" applyAlignment="1">
      <alignment vertical="top"/>
    </xf>
    <xf numFmtId="0" fontId="81" fillId="0" borderId="2" xfId="360" applyNumberFormat="1" applyFont="1" applyBorder="1" applyAlignment="1">
      <alignment horizontal="center"/>
    </xf>
    <xf numFmtId="0" fontId="81" fillId="0" borderId="0" xfId="360" applyNumberFormat="1" applyFont="1" applyBorder="1" applyAlignment="1">
      <alignment horizontal="center"/>
    </xf>
    <xf numFmtId="166" fontId="88" fillId="0" borderId="0" xfId="626" applyNumberFormat="1" applyFont="1" applyFill="1" applyBorder="1" applyAlignment="1"/>
    <xf numFmtId="0" fontId="81" fillId="0" borderId="0" xfId="0" quotePrefix="1" applyFont="1" applyBorder="1" applyAlignment="1">
      <alignment horizontal="center" vertical="top"/>
    </xf>
    <xf numFmtId="0" fontId="30" fillId="0" borderId="0" xfId="0" applyFont="1" applyBorder="1" applyAlignment="1">
      <alignment horizontal="center" vertical="top" wrapText="1"/>
    </xf>
    <xf numFmtId="0" fontId="81" fillId="0" borderId="0" xfId="0" quotePrefix="1" applyFont="1" applyBorder="1" applyAlignment="1">
      <alignment vertical="top"/>
    </xf>
    <xf numFmtId="0" fontId="81" fillId="0" borderId="2" xfId="0" quotePrefix="1" applyFont="1" applyBorder="1" applyAlignment="1">
      <alignment horizontal="center" vertical="top"/>
    </xf>
    <xf numFmtId="0" fontId="81" fillId="0" borderId="23" xfId="360" applyNumberFormat="1" applyFont="1" applyBorder="1" applyAlignment="1">
      <alignment horizontal="center" vertical="center" wrapText="1"/>
    </xf>
    <xf numFmtId="0" fontId="69" fillId="0" borderId="0" xfId="0" applyFont="1" applyBorder="1" applyAlignment="1">
      <alignment vertical="center"/>
    </xf>
    <xf numFmtId="0" fontId="61" fillId="0" borderId="23" xfId="626" applyFont="1" applyFill="1" applyBorder="1" applyAlignment="1"/>
    <xf numFmtId="166" fontId="89" fillId="0" borderId="0" xfId="360" applyNumberFormat="1" applyFont="1" applyFill="1" applyBorder="1" applyAlignment="1"/>
    <xf numFmtId="0" fontId="61" fillId="0" borderId="23" xfId="633" applyFont="1" applyFill="1" applyBorder="1" applyAlignment="1"/>
    <xf numFmtId="0" fontId="61" fillId="0" borderId="0" xfId="633" applyFont="1" applyFill="1" applyBorder="1" applyAlignment="1"/>
    <xf numFmtId="0" fontId="61" fillId="0" borderId="23" xfId="633" applyFont="1" applyBorder="1"/>
    <xf numFmtId="0" fontId="61" fillId="0" borderId="0" xfId="633" applyFont="1" applyBorder="1"/>
    <xf numFmtId="0" fontId="81" fillId="0" borderId="0" xfId="640" applyFont="1" applyFill="1" applyBorder="1" applyAlignment="1">
      <alignment horizontal="center" vertical="center"/>
    </xf>
    <xf numFmtId="0" fontId="81" fillId="0" borderId="0" xfId="0" applyFont="1" applyBorder="1" applyAlignment="1">
      <alignment horizontal="center" vertical="center" wrapText="1"/>
    </xf>
    <xf numFmtId="0" fontId="30" fillId="0" borderId="0" xfId="626" applyFont="1" applyFill="1" applyBorder="1"/>
    <xf numFmtId="166" fontId="87" fillId="0" borderId="0" xfId="626" applyNumberFormat="1" applyFont="1" applyFill="1" applyBorder="1"/>
    <xf numFmtId="166" fontId="30" fillId="0" borderId="0" xfId="626" applyNumberFormat="1" applyFont="1" applyFill="1" applyBorder="1"/>
    <xf numFmtId="166" fontId="30" fillId="0" borderId="0" xfId="382" applyNumberFormat="1" applyFont="1" applyFill="1" applyBorder="1" applyAlignment="1" applyProtection="1">
      <alignment horizontal="right"/>
    </xf>
    <xf numFmtId="166" fontId="30" fillId="0" borderId="0" xfId="360" applyNumberFormat="1" applyFont="1" applyFill="1" applyBorder="1" applyAlignment="1">
      <alignment horizontal="right"/>
    </xf>
    <xf numFmtId="41" fontId="30" fillId="0" borderId="0" xfId="626" applyNumberFormat="1" applyFont="1" applyFill="1" applyBorder="1"/>
    <xf numFmtId="43" fontId="30" fillId="0" borderId="0" xfId="360" applyFont="1" applyFill="1" applyBorder="1"/>
    <xf numFmtId="0" fontId="61" fillId="0" borderId="0" xfId="626" applyFont="1" applyFill="1" applyBorder="1"/>
    <xf numFmtId="0" fontId="81" fillId="0" borderId="0" xfId="0" applyFont="1" applyBorder="1" applyAlignment="1">
      <alignment horizontal="center" vertical="center"/>
    </xf>
    <xf numFmtId="0" fontId="30" fillId="0" borderId="0" xfId="0" applyFont="1" applyBorder="1" applyAlignment="1">
      <alignment horizontal="center" vertical="center" wrapText="1"/>
    </xf>
    <xf numFmtId="0" fontId="81" fillId="0" borderId="0" xfId="360" applyNumberFormat="1" applyFont="1" applyBorder="1" applyAlignment="1">
      <alignment horizontal="center" vertical="center"/>
    </xf>
    <xf numFmtId="0" fontId="59" fillId="0" borderId="0" xfId="633" applyFont="1" applyBorder="1"/>
    <xf numFmtId="0" fontId="61" fillId="0" borderId="0" xfId="0" applyFont="1" applyAlignment="1">
      <alignment horizontal="left" vertical="top"/>
    </xf>
    <xf numFmtId="0" fontId="36" fillId="0" borderId="0" xfId="0" applyFont="1" applyAlignment="1"/>
    <xf numFmtId="166" fontId="59" fillId="0" borderId="0" xfId="642" applyNumberFormat="1" applyFont="1" applyFill="1" applyBorder="1" applyAlignment="1">
      <alignment horizontal="justify" vertical="top"/>
    </xf>
    <xf numFmtId="0" fontId="61" fillId="0" borderId="0" xfId="626" applyFont="1" applyFill="1" applyAlignment="1">
      <alignment horizontal="center"/>
    </xf>
    <xf numFmtId="0" fontId="59" fillId="0" borderId="0" xfId="0" applyFont="1" applyFill="1" applyAlignment="1">
      <alignment horizontal="justify" vertical="top"/>
    </xf>
    <xf numFmtId="0" fontId="59" fillId="0" borderId="0" xfId="634" applyFont="1" applyFill="1" applyAlignment="1">
      <alignment horizontal="justify" vertical="top"/>
    </xf>
    <xf numFmtId="0" fontId="59" fillId="0" borderId="0" xfId="641" applyFont="1" applyFill="1" applyAlignment="1">
      <alignment horizontal="justify" vertical="top"/>
    </xf>
    <xf numFmtId="0" fontId="61" fillId="0" borderId="0" xfId="633" applyFont="1" applyFill="1" applyAlignment="1">
      <alignment horizontal="center" vertical="center"/>
    </xf>
    <xf numFmtId="0" fontId="61" fillId="0" borderId="0" xfId="626" applyFont="1" applyFill="1" applyBorder="1" applyAlignment="1">
      <alignment horizontal="center" vertical="center" wrapText="1"/>
    </xf>
    <xf numFmtId="0" fontId="81" fillId="0" borderId="0" xfId="626" applyFont="1" applyFill="1" applyAlignment="1"/>
    <xf numFmtId="0" fontId="81" fillId="0" borderId="0" xfId="626" applyNumberFormat="1" applyFont="1" applyFill="1"/>
    <xf numFmtId="166" fontId="30" fillId="0" borderId="0" xfId="626" applyNumberFormat="1" applyFont="1" applyFill="1"/>
    <xf numFmtId="0" fontId="30" fillId="0" borderId="0" xfId="626" applyNumberFormat="1" applyFont="1" applyFill="1"/>
    <xf numFmtId="0" fontId="30" fillId="0" borderId="0" xfId="626" quotePrefix="1" applyFont="1" applyFill="1" applyAlignment="1">
      <alignment horizontal="left"/>
    </xf>
    <xf numFmtId="166" fontId="30" fillId="0" borderId="0" xfId="626" applyNumberFormat="1" applyFont="1" applyFill="1" applyAlignment="1">
      <alignment horizontal="center"/>
    </xf>
    <xf numFmtId="1" fontId="30" fillId="0" borderId="0" xfId="626" applyNumberFormat="1" applyFont="1" applyFill="1" applyAlignment="1">
      <alignment horizontal="center"/>
    </xf>
    <xf numFmtId="0" fontId="30" fillId="0" borderId="2" xfId="626" applyFont="1" applyFill="1" applyBorder="1"/>
    <xf numFmtId="166" fontId="30" fillId="0" borderId="21" xfId="360" applyNumberFormat="1" applyFont="1" applyFill="1" applyBorder="1"/>
    <xf numFmtId="1" fontId="30" fillId="0" borderId="0" xfId="626" quotePrefix="1" applyNumberFormat="1" applyFont="1" applyFill="1" applyAlignment="1">
      <alignment horizontal="center"/>
    </xf>
    <xf numFmtId="43" fontId="30" fillId="0" borderId="22" xfId="626" applyNumberFormat="1" applyFont="1" applyFill="1" applyBorder="1"/>
    <xf numFmtId="43" fontId="30" fillId="0" borderId="0" xfId="626" applyNumberFormat="1" applyFont="1" applyFill="1" applyBorder="1"/>
    <xf numFmtId="0" fontId="30" fillId="0" borderId="0" xfId="640" applyFont="1"/>
    <xf numFmtId="0" fontId="30" fillId="0" borderId="0" xfId="640" applyFont="1" applyAlignment="1">
      <alignment horizontal="left" indent="1"/>
    </xf>
    <xf numFmtId="0" fontId="81" fillId="0" borderId="0" xfId="626" applyFont="1" applyFill="1" applyAlignment="1">
      <alignment horizontal="left" indent="1"/>
    </xf>
    <xf numFmtId="0" fontId="81" fillId="0" borderId="0" xfId="0" applyFont="1" applyFill="1" applyAlignment="1">
      <alignment vertical="top"/>
    </xf>
    <xf numFmtId="0" fontId="81" fillId="0" borderId="0" xfId="633" applyFont="1" applyFill="1" applyAlignment="1"/>
    <xf numFmtId="0" fontId="81" fillId="0" borderId="0" xfId="639" quotePrefix="1" applyFont="1" applyFill="1" applyAlignment="1">
      <alignment horizontal="center"/>
    </xf>
    <xf numFmtId="166" fontId="30" fillId="0" borderId="0" xfId="633" applyNumberFormat="1" applyFont="1" applyFill="1" applyAlignment="1">
      <alignment horizontal="center"/>
    </xf>
    <xf numFmtId="166" fontId="81" fillId="0" borderId="0" xfId="633" applyNumberFormat="1" applyFont="1" applyFill="1" applyAlignment="1">
      <alignment horizontal="center"/>
    </xf>
    <xf numFmtId="0" fontId="30" fillId="0" borderId="0" xfId="633" applyFont="1" applyFill="1" applyAlignment="1">
      <alignment horizontal="center"/>
    </xf>
    <xf numFmtId="166" fontId="30" fillId="0" borderId="0" xfId="633" applyNumberFormat="1" applyFont="1" applyFill="1"/>
    <xf numFmtId="166" fontId="30" fillId="0" borderId="21" xfId="633" applyNumberFormat="1" applyFont="1" applyFill="1" applyBorder="1"/>
    <xf numFmtId="0" fontId="96" fillId="0" borderId="0" xfId="633" applyFont="1" applyFill="1" applyAlignment="1"/>
    <xf numFmtId="0" fontId="81" fillId="0" borderId="0" xfId="633" applyFont="1" applyFill="1" applyAlignment="1">
      <alignment horizontal="left" indent="1"/>
    </xf>
    <xf numFmtId="166" fontId="30" fillId="0" borderId="0" xfId="360" applyNumberFormat="1" applyFont="1" applyFill="1" applyAlignment="1">
      <alignment horizontal="center"/>
    </xf>
    <xf numFmtId="166" fontId="30" fillId="0" borderId="21" xfId="360" applyNumberFormat="1" applyFont="1" applyFill="1" applyBorder="1" applyAlignment="1">
      <alignment horizontal="center"/>
    </xf>
    <xf numFmtId="0" fontId="81" fillId="0" borderId="0" xfId="626" applyFont="1" applyFill="1" applyAlignment="1">
      <alignment horizontal="center" vertical="center" wrapText="1"/>
    </xf>
    <xf numFmtId="0" fontId="59" fillId="0" borderId="0" xfId="636" applyFont="1" applyFill="1" applyAlignment="1">
      <alignment horizontal="center"/>
    </xf>
    <xf numFmtId="0" fontId="59" fillId="0" borderId="0" xfId="634" applyFont="1" applyFill="1" applyAlignment="1">
      <alignment horizontal="center" vertical="top"/>
    </xf>
    <xf numFmtId="41" fontId="59" fillId="0" borderId="0" xfId="0" applyNumberFormat="1" applyFont="1" applyFill="1" applyAlignment="1"/>
    <xf numFmtId="0" fontId="59" fillId="0" borderId="0" xfId="628" applyFont="1" applyAlignment="1">
      <alignment horizontal="centerContinuous"/>
    </xf>
    <xf numFmtId="194" fontId="59" fillId="0" borderId="0" xfId="641" applyNumberFormat="1" applyFont="1" applyFill="1" applyAlignment="1">
      <alignment horizontal="centerContinuous" vertical="top"/>
    </xf>
    <xf numFmtId="0" fontId="81" fillId="0" borderId="0" xfId="360" applyNumberFormat="1" applyFont="1" applyFill="1" applyAlignment="1">
      <alignment horizontal="left" vertical="top"/>
    </xf>
    <xf numFmtId="0" fontId="81" fillId="0" borderId="0" xfId="641" applyNumberFormat="1" applyFont="1" applyFill="1" applyAlignment="1">
      <alignment vertical="top"/>
    </xf>
    <xf numFmtId="0" fontId="30" fillId="0" borderId="0" xfId="641" applyNumberFormat="1" applyFont="1" applyFill="1" applyAlignment="1">
      <alignment vertical="top"/>
    </xf>
    <xf numFmtId="0" fontId="30" fillId="0" borderId="0" xfId="634" applyFont="1" applyFill="1" applyAlignment="1">
      <alignment vertical="top"/>
    </xf>
    <xf numFmtId="0" fontId="30" fillId="0" borderId="0" xfId="641" applyNumberFormat="1" applyFont="1" applyFill="1" applyAlignment="1">
      <alignment horizontal="justify" vertical="top"/>
    </xf>
    <xf numFmtId="0" fontId="59" fillId="0" borderId="0" xfId="641" applyFont="1" applyFill="1" applyAlignment="1">
      <alignment horizontal="left" vertical="top"/>
    </xf>
    <xf numFmtId="0" fontId="59" fillId="0" borderId="0" xfId="641" applyFont="1" applyFill="1" applyAlignment="1">
      <alignment horizontal="left" vertical="top" indent="1"/>
    </xf>
    <xf numFmtId="41" fontId="59" fillId="0" borderId="0" xfId="641" applyNumberFormat="1" applyFont="1" applyFill="1" applyAlignment="1">
      <alignment horizontal="justify" vertical="top"/>
    </xf>
    <xf numFmtId="41" fontId="59" fillId="0" borderId="0" xfId="0" applyNumberFormat="1" applyFont="1" applyAlignment="1"/>
    <xf numFmtId="166" fontId="59" fillId="0" borderId="0" xfId="360" applyNumberFormat="1" applyFont="1" applyFill="1" applyAlignment="1">
      <alignment horizontal="centerContinuous" vertical="top"/>
    </xf>
    <xf numFmtId="0" fontId="61" fillId="0" borderId="0" xfId="641" applyNumberFormat="1" applyFont="1" applyFill="1" applyAlignment="1">
      <alignment vertical="center"/>
    </xf>
    <xf numFmtId="0" fontId="61" fillId="0" borderId="0" xfId="641" applyNumberFormat="1" applyFont="1" applyFill="1" applyAlignment="1">
      <alignment horizontal="left" vertical="center"/>
    </xf>
    <xf numFmtId="0" fontId="61" fillId="0" borderId="0" xfId="639" applyFont="1" applyFill="1" applyBorder="1" applyAlignment="1"/>
    <xf numFmtId="0" fontId="61" fillId="0" borderId="0" xfId="626" applyFont="1" applyFill="1" applyBorder="1" applyAlignment="1">
      <alignment horizontal="center" vertical="top" wrapText="1"/>
    </xf>
    <xf numFmtId="0" fontId="59" fillId="0" borderId="0" xfId="641" applyFont="1" applyFill="1" applyAlignment="1">
      <alignment horizontal="justify" vertical="top"/>
    </xf>
    <xf numFmtId="166" fontId="30" fillId="0" borderId="0" xfId="633" applyNumberFormat="1" applyFont="1" applyFill="1" applyBorder="1"/>
    <xf numFmtId="0" fontId="59" fillId="0" borderId="0" xfId="0" applyFont="1" applyAlignment="1">
      <alignment horizontal="center"/>
    </xf>
    <xf numFmtId="0" fontId="59" fillId="0" borderId="0" xfId="0" applyFont="1" applyBorder="1" applyAlignment="1"/>
    <xf numFmtId="0" fontId="73" fillId="0" borderId="0" xfId="630" applyFont="1" applyFill="1" applyAlignment="1">
      <alignment vertical="top"/>
    </xf>
    <xf numFmtId="0" fontId="81" fillId="0" borderId="0" xfId="640" quotePrefix="1" applyFont="1" applyFill="1" applyAlignment="1">
      <alignment horizontal="center"/>
    </xf>
    <xf numFmtId="0" fontId="59" fillId="0" borderId="0" xfId="641" applyNumberFormat="1" applyFont="1" applyFill="1" applyBorder="1" applyAlignment="1">
      <alignment horizontal="justify" vertical="top"/>
    </xf>
    <xf numFmtId="0" fontId="59" fillId="0" borderId="0" xfId="641" applyNumberFormat="1" applyFont="1" applyFill="1" applyBorder="1" applyAlignment="1">
      <alignment vertical="top"/>
    </xf>
    <xf numFmtId="0" fontId="59" fillId="0" borderId="0" xfId="642" applyFont="1" applyFill="1" applyBorder="1" applyAlignment="1">
      <alignment horizontal="left"/>
    </xf>
    <xf numFmtId="41" fontId="59" fillId="0" borderId="0" xfId="360" applyNumberFormat="1" applyFont="1" applyFill="1" applyBorder="1" applyAlignment="1">
      <alignment horizontal="left"/>
    </xf>
    <xf numFmtId="0" fontId="61" fillId="0" borderId="0" xfId="641" applyFont="1" applyFill="1" applyBorder="1" applyAlignment="1">
      <alignment horizontal="left" vertical="top"/>
    </xf>
    <xf numFmtId="0" fontId="59" fillId="0" borderId="0" xfId="641" applyFont="1" applyFill="1" applyBorder="1" applyAlignment="1">
      <alignment horizontal="left" vertical="top"/>
    </xf>
    <xf numFmtId="0" fontId="61" fillId="0" borderId="0" xfId="626" applyFont="1" applyFill="1" applyAlignment="1">
      <alignment horizontal="center"/>
    </xf>
    <xf numFmtId="0" fontId="0" fillId="0" borderId="0" xfId="0" applyAlignment="1"/>
    <xf numFmtId="0" fontId="61" fillId="0" borderId="0" xfId="772" applyFont="1" applyFill="1"/>
    <xf numFmtId="166" fontId="30" fillId="0" borderId="0" xfId="524" applyNumberFormat="1" applyFont="1" applyFill="1" applyAlignment="1"/>
    <xf numFmtId="43" fontId="0" fillId="0" borderId="0" xfId="360" applyFont="1"/>
    <xf numFmtId="0" fontId="81" fillId="0" borderId="0" xfId="626" applyFont="1" applyFill="1" applyAlignment="1">
      <alignment horizontal="center"/>
    </xf>
    <xf numFmtId="4" fontId="61" fillId="0" borderId="0" xfId="0" applyNumberFormat="1" applyFont="1" applyFill="1" applyAlignment="1">
      <alignment vertical="top"/>
    </xf>
    <xf numFmtId="0" fontId="61" fillId="0" borderId="0" xfId="0" applyNumberFormat="1" applyFont="1" applyAlignment="1">
      <alignment horizontal="center" vertical="center"/>
    </xf>
    <xf numFmtId="0" fontId="61" fillId="0" borderId="0" xfId="640" quotePrefix="1" applyFont="1" applyAlignment="1">
      <alignment horizontal="centerContinuous"/>
    </xf>
    <xf numFmtId="189" fontId="59" fillId="0" borderId="0" xfId="632" applyNumberFormat="1" applyFont="1" applyFill="1" applyBorder="1" applyAlignment="1">
      <alignment horizontal="centerContinuous"/>
    </xf>
    <xf numFmtId="166" fontId="59" fillId="0" borderId="0" xfId="360" applyNumberFormat="1" applyFont="1" applyFill="1" applyBorder="1" applyAlignment="1">
      <alignment horizontal="centerContinuous" vertical="top"/>
    </xf>
    <xf numFmtId="0" fontId="59" fillId="0" borderId="0" xfId="739" applyFont="1" applyFill="1" applyBorder="1" applyAlignment="1">
      <alignment vertical="top"/>
    </xf>
    <xf numFmtId="0" fontId="59" fillId="0" borderId="0" xfId="642" applyNumberFormat="1" applyFont="1" applyFill="1" applyAlignment="1">
      <alignment horizontal="left" vertical="center"/>
    </xf>
    <xf numFmtId="189" fontId="59" fillId="0" borderId="0" xfId="634" applyNumberFormat="1" applyFont="1" applyFill="1" applyBorder="1" applyAlignment="1">
      <alignment horizontal="centerContinuous" vertical="top"/>
    </xf>
    <xf numFmtId="0" fontId="101" fillId="0" borderId="1" xfId="529" applyFont="1" applyFill="1" applyBorder="1" applyAlignment="1">
      <alignment horizontal="center" vertical="center" wrapText="1"/>
    </xf>
    <xf numFmtId="0" fontId="102" fillId="0" borderId="0" xfId="529" applyFont="1" applyBorder="1"/>
    <xf numFmtId="0" fontId="102" fillId="0" borderId="0" xfId="529" applyFont="1"/>
    <xf numFmtId="166" fontId="102" fillId="0" borderId="0" xfId="380" applyNumberFormat="1" applyFont="1"/>
    <xf numFmtId="0" fontId="101" fillId="0" borderId="0" xfId="529" applyFont="1" applyFill="1" applyBorder="1"/>
    <xf numFmtId="0" fontId="102" fillId="0" borderId="0" xfId="529" applyFont="1" applyFill="1" applyAlignment="1">
      <alignment horizontal="center"/>
    </xf>
    <xf numFmtId="0" fontId="102" fillId="0" borderId="0" xfId="529" applyFont="1" applyFill="1"/>
    <xf numFmtId="199" fontId="102" fillId="0" borderId="0" xfId="529" applyNumberFormat="1" applyFont="1" applyFill="1" applyBorder="1" applyAlignment="1">
      <alignment horizontal="left"/>
    </xf>
    <xf numFmtId="166" fontId="102" fillId="0" borderId="0" xfId="380" applyNumberFormat="1" applyFont="1" applyFill="1" applyAlignment="1">
      <alignment horizontal="center"/>
    </xf>
    <xf numFmtId="166" fontId="102" fillId="0" borderId="0" xfId="380" applyNumberFormat="1" applyFont="1" applyFill="1"/>
    <xf numFmtId="43" fontId="102" fillId="0" borderId="0" xfId="380" applyNumberFormat="1" applyFont="1" applyFill="1"/>
    <xf numFmtId="43" fontId="102" fillId="0" borderId="0" xfId="529" applyNumberFormat="1" applyFont="1" applyFill="1"/>
    <xf numFmtId="199" fontId="102" fillId="0" borderId="0" xfId="529" applyNumberFormat="1" applyFont="1" applyFill="1" applyBorder="1" applyAlignment="1">
      <alignment horizontal="left" indent="1"/>
    </xf>
    <xf numFmtId="0" fontId="102" fillId="0" borderId="0" xfId="529" applyFont="1" applyAlignment="1">
      <alignment horizontal="center"/>
    </xf>
    <xf numFmtId="0" fontId="81" fillId="0" borderId="0" xfId="640" quotePrefix="1" applyFont="1" applyFill="1" applyAlignment="1">
      <alignment horizontal="center"/>
    </xf>
    <xf numFmtId="0" fontId="0" fillId="0" borderId="0" xfId="0" applyAlignment="1"/>
    <xf numFmtId="0" fontId="61" fillId="0" borderId="0" xfId="641" quotePrefix="1" applyFont="1" applyFill="1" applyAlignment="1">
      <alignment horizontal="center"/>
    </xf>
    <xf numFmtId="0" fontId="59" fillId="0" borderId="0" xfId="641" applyNumberFormat="1" applyFont="1" applyFill="1" applyAlignment="1">
      <alignment horizontal="justify" vertical="top"/>
    </xf>
    <xf numFmtId="0" fontId="61" fillId="0" borderId="0" xfId="640" applyFont="1" applyAlignment="1">
      <alignment horizontal="left"/>
    </xf>
    <xf numFmtId="166" fontId="59" fillId="0" borderId="21" xfId="634" applyNumberFormat="1" applyFont="1" applyFill="1" applyBorder="1" applyAlignment="1">
      <alignment horizontal="centerContinuous" vertical="top"/>
    </xf>
    <xf numFmtId="0" fontId="0" fillId="0" borderId="0" xfId="0" applyAlignment="1">
      <alignment horizontal="center" vertical="center"/>
    </xf>
    <xf numFmtId="0" fontId="103" fillId="0" borderId="0" xfId="777" applyFont="1"/>
    <xf numFmtId="0" fontId="59" fillId="0" borderId="0" xfId="641" applyFont="1" applyFill="1" applyAlignment="1">
      <alignment horizontal="justify" vertical="top"/>
    </xf>
    <xf numFmtId="0" fontId="73" fillId="0" borderId="0" xfId="629" applyNumberFormat="1" applyFont="1" applyAlignment="1">
      <alignment horizontal="justify" vertical="top" wrapText="1"/>
    </xf>
    <xf numFmtId="0" fontId="59" fillId="0" borderId="0" xfId="640" applyFont="1" applyFill="1"/>
    <xf numFmtId="166" fontId="30" fillId="0" borderId="2" xfId="360" applyNumberFormat="1" applyFont="1" applyFill="1" applyBorder="1" applyAlignment="1">
      <alignment horizontal="center"/>
    </xf>
    <xf numFmtId="0" fontId="30" fillId="0" borderId="0" xfId="524" applyNumberFormat="1" applyFont="1" applyFill="1" applyAlignment="1">
      <alignment vertical="top"/>
    </xf>
    <xf numFmtId="0" fontId="81" fillId="0" borderId="0" xfId="524" applyFont="1" applyFill="1" applyAlignment="1"/>
    <xf numFmtId="0" fontId="59" fillId="0" borderId="0" xfId="626" applyFont="1" applyFill="1"/>
    <xf numFmtId="166" fontId="59" fillId="0" borderId="0" xfId="626" applyNumberFormat="1" applyFont="1" applyFill="1"/>
    <xf numFmtId="166" fontId="59" fillId="0" borderId="0" xfId="360" applyNumberFormat="1" applyFont="1" applyFill="1"/>
    <xf numFmtId="0" fontId="61" fillId="0" borderId="0" xfId="626" applyFont="1" applyFill="1" applyAlignment="1">
      <alignment vertical="center"/>
    </xf>
    <xf numFmtId="0" fontId="59" fillId="0" borderId="0" xfId="626" applyFont="1" applyFill="1" applyBorder="1"/>
    <xf numFmtId="0" fontId="59" fillId="0" borderId="0" xfId="633" applyFont="1" applyFill="1"/>
    <xf numFmtId="166" fontId="59" fillId="0" borderId="0" xfId="633" applyNumberFormat="1" applyFont="1" applyFill="1"/>
    <xf numFmtId="0" fontId="61" fillId="0" borderId="0" xfId="633" applyFont="1" applyFill="1" applyAlignment="1">
      <alignment vertical="center"/>
    </xf>
    <xf numFmtId="0" fontId="61" fillId="0" borderId="0" xfId="634" applyFont="1" applyFill="1" applyAlignment="1">
      <alignment horizontal="left" vertical="top"/>
    </xf>
    <xf numFmtId="0" fontId="59" fillId="0" borderId="0" xfId="634" applyFont="1" applyFill="1" applyAlignment="1">
      <alignment vertical="top"/>
    </xf>
    <xf numFmtId="0" fontId="59" fillId="0" borderId="0" xfId="634" applyFont="1" applyFill="1" applyAlignment="1">
      <alignment horizontal="left" vertical="top"/>
    </xf>
    <xf numFmtId="0" fontId="59" fillId="0" borderId="0" xfId="633" applyFont="1" applyFill="1" applyAlignment="1"/>
    <xf numFmtId="0" fontId="63" fillId="0" borderId="0" xfId="633" applyFont="1" applyFill="1" applyAlignment="1"/>
    <xf numFmtId="0" fontId="59" fillId="0" borderId="0" xfId="633" applyFont="1" applyFill="1" applyBorder="1"/>
    <xf numFmtId="166" fontId="30" fillId="0" borderId="0" xfId="360" applyNumberFormat="1" applyFont="1" applyFill="1"/>
    <xf numFmtId="0" fontId="30" fillId="0" borderId="0" xfId="626" applyFont="1" applyFill="1"/>
    <xf numFmtId="166" fontId="30" fillId="0" borderId="0" xfId="360" applyNumberFormat="1" applyFont="1" applyFill="1" applyBorder="1"/>
    <xf numFmtId="0" fontId="30" fillId="0" borderId="0" xfId="633" applyFont="1" applyFill="1"/>
    <xf numFmtId="0" fontId="81" fillId="0" borderId="0" xfId="360" applyNumberFormat="1" applyFont="1" applyBorder="1" applyAlignment="1">
      <alignment horizontal="center"/>
    </xf>
    <xf numFmtId="0" fontId="39" fillId="0" borderId="0" xfId="783" applyFont="1" applyFill="1"/>
    <xf numFmtId="0" fontId="39" fillId="0" borderId="0" xfId="634" applyFont="1" applyFill="1" applyAlignment="1">
      <alignment horizontal="center" vertical="top"/>
    </xf>
    <xf numFmtId="0" fontId="39" fillId="0" borderId="0" xfId="778" applyFont="1" applyAlignment="1">
      <alignment horizontal="center" vertical="center" wrapText="1"/>
      <protection locked="0"/>
    </xf>
    <xf numFmtId="0" fontId="39" fillId="0" borderId="0" xfId="783" applyFont="1" applyFill="1" applyAlignment="1">
      <alignment vertical="top"/>
    </xf>
    <xf numFmtId="0" fontId="21" fillId="0" borderId="0" xfId="640" quotePrefix="1" applyFont="1" applyFill="1" applyBorder="1" applyAlignment="1"/>
    <xf numFmtId="188" fontId="39" fillId="0" borderId="0" xfId="360" applyNumberFormat="1" applyFont="1" applyFill="1" applyAlignment="1">
      <alignment vertical="top"/>
    </xf>
    <xf numFmtId="0" fontId="81" fillId="0" borderId="0" xfId="640" quotePrefix="1" applyFont="1" applyFill="1" applyAlignment="1">
      <alignment horizontal="center"/>
    </xf>
    <xf numFmtId="0" fontId="59" fillId="0" borderId="0" xfId="641" applyFont="1" applyFill="1" applyAlignment="1">
      <alignment horizontal="justify" vertical="top"/>
    </xf>
    <xf numFmtId="166" fontId="59" fillId="0" borderId="0" xfId="360" applyNumberFormat="1" applyFont="1" applyFill="1" applyAlignment="1">
      <alignment vertical="top"/>
    </xf>
    <xf numFmtId="0" fontId="59" fillId="0" borderId="0" xfId="642" applyFont="1" applyFill="1" applyAlignment="1">
      <alignment horizontal="left" vertical="top"/>
    </xf>
    <xf numFmtId="0" fontId="0" fillId="0" borderId="0" xfId="0" applyFill="1" applyAlignment="1"/>
    <xf numFmtId="43" fontId="99" fillId="0" borderId="0" xfId="360" applyFont="1"/>
    <xf numFmtId="166" fontId="100" fillId="0" borderId="0" xfId="360" applyNumberFormat="1" applyFont="1"/>
    <xf numFmtId="43" fontId="100" fillId="0" borderId="0" xfId="360" applyFont="1"/>
    <xf numFmtId="0" fontId="100" fillId="0" borderId="0" xfId="0" applyFont="1" applyAlignment="1"/>
    <xf numFmtId="43" fontId="98" fillId="0" borderId="0" xfId="0" applyNumberFormat="1" applyFont="1" applyAlignment="1"/>
    <xf numFmtId="166" fontId="98" fillId="0" borderId="7" xfId="360" applyNumberFormat="1" applyFont="1" applyBorder="1"/>
    <xf numFmtId="43" fontId="98" fillId="0" borderId="7" xfId="360" applyFont="1" applyBorder="1"/>
    <xf numFmtId="43" fontId="98" fillId="0" borderId="0" xfId="360" applyFont="1" applyBorder="1"/>
    <xf numFmtId="166" fontId="98" fillId="0" borderId="0" xfId="360" applyNumberFormat="1" applyFont="1"/>
    <xf numFmtId="43" fontId="98" fillId="0" borderId="0" xfId="360" applyFont="1"/>
    <xf numFmtId="49" fontId="0" fillId="0" borderId="0" xfId="0" applyNumberFormat="1" applyAlignment="1"/>
    <xf numFmtId="0" fontId="98" fillId="0" borderId="0" xfId="0" applyFont="1" applyAlignment="1"/>
    <xf numFmtId="166" fontId="98" fillId="0" borderId="0" xfId="360" applyNumberFormat="1" applyFont="1" applyBorder="1"/>
    <xf numFmtId="49" fontId="98" fillId="0" borderId="0" xfId="0" applyNumberFormat="1" applyFont="1" applyAlignment="1"/>
    <xf numFmtId="166" fontId="98" fillId="0" borderId="21" xfId="360" applyNumberFormat="1" applyFont="1" applyBorder="1"/>
    <xf numFmtId="0" fontId="61" fillId="0" borderId="0" xfId="640" applyFont="1" applyFill="1" applyAlignment="1"/>
    <xf numFmtId="0" fontId="61" fillId="0" borderId="0" xfId="640" applyFont="1" applyFill="1" applyAlignment="1">
      <alignment horizontal="center"/>
    </xf>
    <xf numFmtId="166" fontId="30" fillId="0" borderId="0" xfId="626" applyNumberFormat="1" applyFont="1" applyFill="1" applyBorder="1"/>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81" fillId="0" borderId="0" xfId="640" quotePrefix="1" applyFont="1" applyFill="1" applyAlignment="1">
      <alignment horizontal="center"/>
    </xf>
    <xf numFmtId="198" fontId="59" fillId="0" borderId="0" xfId="640" applyNumberFormat="1" applyFont="1" applyFill="1" applyAlignment="1">
      <alignment horizontal="justify" vertical="top"/>
    </xf>
    <xf numFmtId="0" fontId="59" fillId="0" borderId="0" xfId="640" applyFont="1" applyFill="1" applyBorder="1" applyAlignment="1">
      <alignment horizontal="justify" vertical="top"/>
    </xf>
    <xf numFmtId="0" fontId="61" fillId="0" borderId="0" xfId="640" quotePrefix="1" applyFont="1" applyAlignment="1">
      <alignment horizontal="center"/>
    </xf>
    <xf numFmtId="0" fontId="61" fillId="0" borderId="0" xfId="640" applyFont="1" applyAlignment="1">
      <alignment horizontal="center"/>
    </xf>
    <xf numFmtId="0" fontId="73" fillId="0" borderId="0" xfId="630" applyFont="1" applyFill="1" applyAlignment="1">
      <alignment horizontal="justify" vertical="top" wrapText="1"/>
    </xf>
    <xf numFmtId="0" fontId="59" fillId="0" borderId="0" xfId="0" applyFont="1" applyAlignment="1">
      <alignment horizontal="center"/>
    </xf>
    <xf numFmtId="166" fontId="61" fillId="0" borderId="0" xfId="360" quotePrefix="1" applyNumberFormat="1" applyFont="1" applyFill="1" applyAlignment="1">
      <alignment horizontal="center" vertical="center" wrapText="1"/>
    </xf>
    <xf numFmtId="0" fontId="61" fillId="0" borderId="0" xfId="640" quotePrefix="1" applyFont="1" applyFill="1" applyAlignment="1">
      <alignment horizontal="center" vertical="center" wrapText="1"/>
    </xf>
    <xf numFmtId="0" fontId="30" fillId="0" borderId="0" xfId="524" applyFont="1" applyFill="1" applyAlignment="1">
      <alignment horizontal="left"/>
    </xf>
    <xf numFmtId="0" fontId="30" fillId="0" borderId="0" xfId="626" applyFont="1" applyFill="1" applyBorder="1" applyAlignment="1">
      <alignment horizontal="center"/>
    </xf>
    <xf numFmtId="0" fontId="61" fillId="0" borderId="0" xfId="0" quotePrefix="1" applyFont="1" applyFill="1" applyAlignment="1">
      <alignment horizontal="left" vertical="top"/>
    </xf>
    <xf numFmtId="0" fontId="106" fillId="0" borderId="0" xfId="0" applyFont="1" applyAlignment="1">
      <alignment horizontal="justify" vertical="top" wrapText="1"/>
    </xf>
    <xf numFmtId="0" fontId="107" fillId="0" borderId="0" xfId="640" applyFont="1" applyAlignment="1">
      <alignment vertical="top"/>
    </xf>
    <xf numFmtId="0" fontId="108" fillId="0" borderId="0" xfId="640" applyFont="1" applyAlignment="1">
      <alignment horizontal="center" vertical="top"/>
    </xf>
    <xf numFmtId="0" fontId="107" fillId="0" borderId="0" xfId="640" applyFont="1" applyAlignment="1">
      <alignment horizontal="center" vertical="top"/>
    </xf>
    <xf numFmtId="0" fontId="106" fillId="0" borderId="0" xfId="640" applyFont="1" applyAlignment="1">
      <alignment vertical="top"/>
    </xf>
    <xf numFmtId="0" fontId="61" fillId="0" borderId="0" xfId="640" applyNumberFormat="1" applyFont="1" applyAlignment="1">
      <alignment vertical="top"/>
    </xf>
    <xf numFmtId="0" fontId="109" fillId="0" borderId="0" xfId="640" applyFont="1" applyAlignment="1">
      <alignment horizontal="center" vertical="top"/>
    </xf>
    <xf numFmtId="0" fontId="59" fillId="0" borderId="0" xfId="640" applyFont="1" applyAlignment="1">
      <alignment vertical="top"/>
    </xf>
    <xf numFmtId="0" fontId="61" fillId="0" borderId="0" xfId="640" applyFont="1" applyAlignment="1">
      <alignment vertical="top"/>
    </xf>
    <xf numFmtId="0" fontId="59" fillId="0" borderId="0" xfId="0" applyFont="1" applyFill="1" applyAlignment="1" applyProtection="1">
      <alignment vertical="top"/>
    </xf>
    <xf numFmtId="0" fontId="59" fillId="0" borderId="0" xfId="0" applyFont="1" applyAlignment="1" applyProtection="1"/>
    <xf numFmtId="0" fontId="59" fillId="0" borderId="0" xfId="640" applyNumberFormat="1" applyFont="1" applyAlignment="1">
      <alignment horizontal="centerContinuous" vertical="top"/>
    </xf>
    <xf numFmtId="0" fontId="59" fillId="0" borderId="0" xfId="632" applyNumberFormat="1" applyFont="1" applyBorder="1" applyAlignment="1"/>
    <xf numFmtId="166" fontId="61" fillId="0" borderId="0" xfId="360" quotePrefix="1" applyNumberFormat="1" applyFont="1" applyAlignment="1">
      <alignment horizontal="center"/>
    </xf>
    <xf numFmtId="166" fontId="30" fillId="0" borderId="0" xfId="626" quotePrefix="1" applyNumberFormat="1" applyFont="1" applyFill="1" applyBorder="1" applyAlignment="1"/>
    <xf numFmtId="166" fontId="30" fillId="0" borderId="0" xfId="626" applyNumberFormat="1" applyFont="1" applyFill="1" applyBorder="1" applyAlignment="1"/>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61" fillId="0" borderId="0" xfId="640" applyFont="1" applyFill="1" applyAlignment="1">
      <alignment horizontal="center"/>
    </xf>
    <xf numFmtId="0" fontId="59" fillId="0" borderId="0" xfId="641" applyFont="1" applyFill="1" applyAlignment="1">
      <alignment horizontal="justify" vertical="top"/>
    </xf>
    <xf numFmtId="0" fontId="81" fillId="0" borderId="0" xfId="0" quotePrefix="1" applyFont="1" applyFill="1" applyBorder="1" applyAlignment="1">
      <alignment horizontal="center"/>
    </xf>
    <xf numFmtId="43" fontId="0" fillId="0" borderId="0" xfId="0" applyNumberFormat="1" applyAlignment="1"/>
    <xf numFmtId="0" fontId="81" fillId="0" borderId="0" xfId="0" quotePrefix="1" applyFont="1" applyBorder="1" applyAlignment="1">
      <alignment horizontal="center"/>
    </xf>
    <xf numFmtId="0" fontId="30" fillId="0" borderId="0" xfId="641" applyNumberFormat="1" applyFont="1" applyFill="1" applyBorder="1" applyAlignment="1">
      <alignment vertical="top"/>
    </xf>
    <xf numFmtId="0" fontId="59" fillId="0" borderId="0" xfId="0" applyFont="1" applyBorder="1" applyAlignment="1">
      <alignment horizontal="center"/>
    </xf>
    <xf numFmtId="0" fontId="61" fillId="0" borderId="0" xfId="639" quotePrefix="1" applyFont="1" applyFill="1" applyBorder="1" applyAlignment="1">
      <alignment horizontal="center"/>
    </xf>
    <xf numFmtId="0" fontId="61" fillId="0" borderId="0" xfId="641" quotePrefix="1" applyFont="1" applyFill="1" applyBorder="1" applyAlignment="1">
      <alignment horizontal="center"/>
    </xf>
    <xf numFmtId="0" fontId="81" fillId="0" borderId="0" xfId="640" quotePrefix="1" applyFont="1" applyFill="1" applyBorder="1" applyAlignment="1">
      <alignment horizontal="center"/>
    </xf>
    <xf numFmtId="198" fontId="59" fillId="0" borderId="0" xfId="640" applyNumberFormat="1" applyFont="1" applyFill="1" applyAlignment="1">
      <alignment horizontal="justify" vertical="top" wrapText="1"/>
    </xf>
    <xf numFmtId="0" fontId="59" fillId="0" borderId="0" xfId="640" applyFont="1" applyFill="1" applyAlignment="1">
      <alignment vertical="top" wrapText="1"/>
    </xf>
    <xf numFmtId="0" fontId="0" fillId="0" borderId="0" xfId="0" applyAlignment="1">
      <alignment vertical="top" wrapText="1"/>
    </xf>
    <xf numFmtId="0" fontId="61" fillId="0" borderId="0" xfId="626" applyFont="1" applyFill="1" applyAlignment="1">
      <alignment horizontal="left" vertical="center"/>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0" fillId="0" borderId="0" xfId="0" applyAlignment="1">
      <alignment horizontal="justify" vertical="top" wrapText="1"/>
    </xf>
    <xf numFmtId="0" fontId="61" fillId="0" borderId="0" xfId="640" applyFont="1" applyFill="1" applyAlignment="1">
      <alignment horizontal="center"/>
    </xf>
    <xf numFmtId="0" fontId="0" fillId="0" borderId="0" xfId="0" applyAlignment="1"/>
    <xf numFmtId="0" fontId="59" fillId="0" borderId="0" xfId="0" applyFont="1" applyFill="1" applyAlignment="1">
      <alignment horizontal="justify" vertical="top" wrapText="1"/>
    </xf>
    <xf numFmtId="0" fontId="59" fillId="0" borderId="0" xfId="641" applyFont="1" applyFill="1" applyAlignment="1">
      <alignment horizontal="justify" vertical="top"/>
    </xf>
    <xf numFmtId="0" fontId="73" fillId="0" borderId="0" xfId="629" applyNumberFormat="1" applyFont="1" applyAlignment="1">
      <alignment horizontal="justify" vertical="top" wrapText="1"/>
    </xf>
    <xf numFmtId="166" fontId="30" fillId="0" borderId="0" xfId="626" applyNumberFormat="1" applyFont="1" applyFill="1" applyBorder="1"/>
    <xf numFmtId="166" fontId="1" fillId="0" borderId="0" xfId="360" applyNumberFormat="1" applyFont="1"/>
    <xf numFmtId="43" fontId="110" fillId="0" borderId="0" xfId="360" applyFont="1" applyAlignment="1">
      <alignment vertical="center" wrapText="1"/>
    </xf>
    <xf numFmtId="43" fontId="1" fillId="0" borderId="0" xfId="360" applyFont="1"/>
    <xf numFmtId="43" fontId="111" fillId="0" borderId="0" xfId="360" applyFont="1" applyAlignment="1">
      <alignment horizontal="right" vertical="center"/>
    </xf>
    <xf numFmtId="0" fontId="111" fillId="0" borderId="0" xfId="788" applyNumberFormat="1" applyFont="1"/>
    <xf numFmtId="166" fontId="110" fillId="0" borderId="0" xfId="360" applyNumberFormat="1" applyFont="1" applyAlignment="1">
      <alignment vertical="center"/>
    </xf>
    <xf numFmtId="43" fontId="110" fillId="0" borderId="0" xfId="360" applyFont="1" applyAlignment="1">
      <alignment vertical="center"/>
    </xf>
    <xf numFmtId="43" fontId="97" fillId="34" borderId="18" xfId="360" applyFont="1" applyFill="1" applyBorder="1" applyAlignment="1">
      <alignment horizontal="center" vertical="center"/>
    </xf>
    <xf numFmtId="43" fontId="97" fillId="34" borderId="1" xfId="360" applyFont="1" applyFill="1" applyBorder="1" applyAlignment="1">
      <alignment horizontal="center" vertical="center"/>
    </xf>
    <xf numFmtId="166" fontId="97" fillId="34" borderId="1" xfId="360" applyNumberFormat="1" applyFont="1" applyFill="1" applyBorder="1" applyAlignment="1">
      <alignment horizontal="centerContinuous" vertical="center" wrapText="1"/>
    </xf>
    <xf numFmtId="166" fontId="97" fillId="34" borderId="1" xfId="360" applyNumberFormat="1" applyFont="1" applyFill="1" applyBorder="1" applyAlignment="1">
      <alignment horizontal="center" vertical="center" wrapText="1"/>
    </xf>
    <xf numFmtId="166" fontId="97" fillId="34" borderId="1" xfId="360" applyNumberFormat="1" applyFont="1" applyFill="1" applyBorder="1" applyAlignment="1">
      <alignment horizontal="centerContinuous" vertical="center"/>
    </xf>
    <xf numFmtId="43" fontId="97" fillId="34" borderId="1" xfId="360" applyFont="1" applyFill="1" applyBorder="1" applyAlignment="1">
      <alignment horizontal="center" vertical="center" wrapText="1"/>
    </xf>
    <xf numFmtId="43" fontId="97" fillId="34" borderId="1" xfId="360" applyFont="1" applyFill="1" applyBorder="1" applyAlignment="1">
      <alignment horizontal="centerContinuous" vertical="center" wrapText="1"/>
    </xf>
    <xf numFmtId="43" fontId="97" fillId="0" borderId="0" xfId="360" applyFont="1" applyFill="1" applyBorder="1" applyAlignment="1">
      <alignment vertical="center"/>
    </xf>
    <xf numFmtId="166" fontId="97" fillId="0" borderId="0" xfId="360" quotePrefix="1" applyNumberFormat="1" applyFont="1" applyFill="1" applyBorder="1" applyAlignment="1">
      <alignment horizontal="centerContinuous" vertical="center"/>
    </xf>
    <xf numFmtId="166" fontId="97" fillId="0" borderId="0" xfId="360" applyNumberFormat="1" applyFont="1" applyFill="1" applyBorder="1" applyAlignment="1">
      <alignment horizontal="centerContinuous" vertical="center"/>
    </xf>
    <xf numFmtId="43" fontId="97" fillId="0" borderId="0" xfId="360" applyFont="1" applyFill="1" applyBorder="1" applyAlignment="1">
      <alignment horizontal="centerContinuous" vertical="center"/>
    </xf>
    <xf numFmtId="166" fontId="0" fillId="0" borderId="0" xfId="360" applyNumberFormat="1" applyFont="1" applyBorder="1"/>
    <xf numFmtId="43" fontId="0" fillId="0" borderId="0" xfId="360" applyFont="1" applyBorder="1"/>
    <xf numFmtId="43" fontId="98" fillId="0" borderId="21" xfId="360" applyFont="1" applyBorder="1"/>
    <xf numFmtId="166" fontId="110" fillId="0" borderId="0" xfId="360" applyNumberFormat="1" applyFont="1" applyAlignment="1">
      <alignment vertical="center" wrapText="1"/>
    </xf>
    <xf numFmtId="43" fontId="112" fillId="0" borderId="0" xfId="360" applyFont="1"/>
    <xf numFmtId="49" fontId="100" fillId="0" borderId="0" xfId="360" applyNumberFormat="1" applyFont="1"/>
    <xf numFmtId="166" fontId="100" fillId="34" borderId="1" xfId="360" applyNumberFormat="1" applyFont="1" applyFill="1" applyBorder="1" applyAlignment="1">
      <alignment horizontal="centerContinuous" vertical="center"/>
    </xf>
    <xf numFmtId="166" fontId="97" fillId="33" borderId="0" xfId="360" applyNumberFormat="1" applyFont="1" applyFill="1" applyBorder="1" applyAlignment="1">
      <alignment horizontal="center" vertical="center" wrapText="1"/>
    </xf>
    <xf numFmtId="43" fontId="97" fillId="33" borderId="0" xfId="360" applyFont="1" applyFill="1" applyBorder="1" applyAlignment="1">
      <alignment horizontal="center" vertical="center" wrapText="1"/>
    </xf>
    <xf numFmtId="166" fontId="0" fillId="0" borderId="0" xfId="360" applyNumberFormat="1" applyFont="1" applyFill="1" applyBorder="1"/>
    <xf numFmtId="43" fontId="0" fillId="0" borderId="0" xfId="360" applyFont="1" applyFill="1" applyBorder="1"/>
    <xf numFmtId="43" fontId="98" fillId="0" borderId="0" xfId="360" applyFont="1" applyFill="1" applyBorder="1"/>
    <xf numFmtId="43" fontId="98" fillId="0" borderId="0" xfId="0" applyNumberFormat="1" applyFont="1" applyFill="1" applyBorder="1" applyAlignment="1"/>
    <xf numFmtId="166" fontId="98" fillId="0" borderId="7" xfId="360" applyNumberFormat="1" applyFont="1" applyFill="1" applyBorder="1"/>
    <xf numFmtId="43" fontId="98" fillId="0" borderId="7" xfId="360" applyFont="1" applyFill="1" applyBorder="1"/>
    <xf numFmtId="166" fontId="98" fillId="0" borderId="0" xfId="360" applyNumberFormat="1" applyFont="1" applyFill="1" applyBorder="1"/>
    <xf numFmtId="49" fontId="0" fillId="0" borderId="0" xfId="0" applyNumberFormat="1" applyFill="1" applyBorder="1" applyAlignment="1"/>
    <xf numFmtId="0" fontId="0" fillId="0" borderId="0" xfId="0" applyFont="1" applyFill="1" applyBorder="1" applyAlignment="1"/>
    <xf numFmtId="0" fontId="98" fillId="0" borderId="0" xfId="0" applyFont="1" applyFill="1" applyBorder="1" applyAlignment="1"/>
    <xf numFmtId="188" fontId="0" fillId="0" borderId="0" xfId="360" applyNumberFormat="1" applyFont="1" applyFill="1" applyBorder="1"/>
    <xf numFmtId="49" fontId="0" fillId="0" borderId="0" xfId="0" applyNumberFormat="1" applyFont="1" applyFill="1" applyBorder="1" applyAlignment="1"/>
    <xf numFmtId="49" fontId="113" fillId="0" borderId="0" xfId="0" applyNumberFormat="1" applyFont="1" applyFill="1" applyBorder="1" applyAlignment="1">
      <alignment wrapText="1"/>
    </xf>
    <xf numFmtId="166" fontId="1" fillId="0" borderId="0" xfId="360" applyNumberFormat="1" applyFont="1" applyFill="1" applyBorder="1"/>
    <xf numFmtId="0" fontId="0" fillId="0" borderId="0" xfId="0" applyFill="1" applyBorder="1" applyAlignment="1">
      <alignment vertical="center"/>
    </xf>
    <xf numFmtId="49" fontId="0" fillId="0" borderId="0" xfId="0" applyNumberFormat="1" applyAlignment="1">
      <alignment vertical="center"/>
    </xf>
    <xf numFmtId="0" fontId="0" fillId="0" borderId="0" xfId="0" applyFill="1" applyBorder="1" applyAlignment="1">
      <alignment wrapText="1"/>
    </xf>
    <xf numFmtId="49" fontId="98" fillId="0" borderId="0" xfId="0" applyNumberFormat="1" applyFont="1" applyFill="1" applyBorder="1" applyAlignment="1"/>
    <xf numFmtId="166" fontId="98" fillId="0" borderId="21" xfId="360" applyNumberFormat="1" applyFont="1" applyFill="1" applyBorder="1"/>
    <xf numFmtId="43" fontId="98" fillId="0" borderId="21" xfId="360" applyFont="1" applyFill="1" applyBorder="1"/>
    <xf numFmtId="0" fontId="114" fillId="0" borderId="0" xfId="529" applyFont="1"/>
    <xf numFmtId="0" fontId="114" fillId="0" borderId="0" xfId="529" applyFont="1" applyAlignment="1"/>
    <xf numFmtId="43" fontId="114" fillId="0" borderId="0" xfId="360" applyFont="1" applyAlignment="1"/>
    <xf numFmtId="43" fontId="102" fillId="0" borderId="0" xfId="360" applyFont="1"/>
    <xf numFmtId="43" fontId="115" fillId="0" borderId="0" xfId="360" applyFont="1"/>
    <xf numFmtId="166" fontId="101" fillId="0" borderId="21" xfId="360" applyNumberFormat="1" applyFont="1" applyFill="1" applyBorder="1"/>
    <xf numFmtId="43" fontId="101" fillId="0" borderId="21" xfId="360" applyNumberFormat="1" applyFont="1" applyFill="1" applyBorder="1"/>
    <xf numFmtId="10" fontId="101" fillId="0" borderId="21" xfId="675" applyNumberFormat="1" applyFont="1" applyFill="1" applyBorder="1"/>
    <xf numFmtId="0" fontId="0" fillId="0" borderId="34" xfId="0" applyBorder="1" applyAlignment="1"/>
    <xf numFmtId="0" fontId="0" fillId="0" borderId="27" xfId="0" applyBorder="1" applyAlignment="1"/>
    <xf numFmtId="200" fontId="59" fillId="0" borderId="0" xfId="437" applyNumberFormat="1" applyFont="1" applyFill="1" applyBorder="1" applyAlignment="1"/>
    <xf numFmtId="43" fontId="59" fillId="0" borderId="0" xfId="360" applyNumberFormat="1" applyFont="1" applyFill="1" applyAlignment="1"/>
    <xf numFmtId="166" fontId="16" fillId="0" borderId="0" xfId="360" applyNumberFormat="1" applyFont="1"/>
    <xf numFmtId="0" fontId="21" fillId="0" borderId="0" xfId="0" applyFont="1" applyFill="1" applyAlignment="1" applyProtection="1">
      <alignment horizontal="center" vertical="top" wrapText="1"/>
      <protection locked="0"/>
    </xf>
    <xf numFmtId="0" fontId="59" fillId="0" borderId="0" xfId="640" applyNumberFormat="1" applyFont="1" applyFill="1" applyAlignment="1">
      <alignment horizontal="justify" vertical="top" wrapText="1"/>
    </xf>
    <xf numFmtId="0" fontId="39" fillId="0" borderId="0" xfId="0" applyFont="1" applyFill="1" applyAlignment="1" applyProtection="1">
      <alignment vertical="top"/>
      <protection locked="0"/>
    </xf>
    <xf numFmtId="0" fontId="39" fillId="0" borderId="0" xfId="640" applyNumberFormat="1" applyFont="1" applyFill="1" applyAlignment="1">
      <alignment horizontal="justify" vertical="top" wrapText="1"/>
    </xf>
    <xf numFmtId="0" fontId="39" fillId="0" borderId="0" xfId="640" applyNumberFormat="1" applyFont="1" applyFill="1" applyAlignment="1">
      <alignment vertical="top"/>
    </xf>
    <xf numFmtId="166" fontId="59" fillId="0" borderId="21" xfId="360" applyNumberFormat="1" applyFont="1" applyFill="1" applyBorder="1" applyAlignment="1"/>
    <xf numFmtId="166" fontId="59" fillId="0" borderId="0" xfId="360" applyNumberFormat="1" applyFont="1" applyFill="1" applyAlignment="1">
      <alignment horizontal="center" vertical="top"/>
    </xf>
    <xf numFmtId="166" fontId="59" fillId="0" borderId="21" xfId="634" applyNumberFormat="1" applyFont="1" applyFill="1" applyBorder="1" applyAlignment="1">
      <alignment horizontal="center" vertical="top"/>
    </xf>
    <xf numFmtId="49" fontId="30" fillId="0" borderId="0" xfId="360" applyNumberFormat="1" applyFont="1" applyFill="1"/>
    <xf numFmtId="166" fontId="30" fillId="0" borderId="0" xfId="360" applyNumberFormat="1" applyFont="1" applyFill="1" applyAlignment="1">
      <alignment horizontal="left" indent="1"/>
    </xf>
    <xf numFmtId="49" fontId="81" fillId="0" borderId="0" xfId="360" applyNumberFormat="1" applyFont="1" applyFill="1"/>
    <xf numFmtId="37" fontId="30" fillId="0" borderId="0" xfId="0" applyNumberFormat="1" applyFont="1" applyFill="1" applyAlignment="1" applyProtection="1"/>
    <xf numFmtId="43" fontId="101" fillId="0" borderId="29" xfId="360" applyFont="1" applyFill="1" applyBorder="1" applyAlignment="1">
      <alignment horizontal="center" vertical="center" wrapText="1"/>
    </xf>
    <xf numFmtId="43" fontId="101" fillId="0" borderId="1" xfId="360" applyFont="1" applyFill="1" applyBorder="1" applyAlignment="1">
      <alignment horizontal="center" vertical="center" wrapText="1"/>
    </xf>
    <xf numFmtId="0" fontId="81" fillId="0" borderId="0" xfId="633" applyFont="1" applyFill="1" applyAlignment="1">
      <alignment horizontal="left"/>
    </xf>
    <xf numFmtId="0" fontId="81" fillId="0" borderId="0" xfId="0" quotePrefix="1" applyFont="1" applyAlignment="1">
      <alignment horizontal="center" vertical="top"/>
    </xf>
    <xf numFmtId="0" fontId="61" fillId="0" borderId="0" xfId="626" applyFont="1" applyFill="1" applyAlignment="1">
      <alignment horizontal="center"/>
    </xf>
    <xf numFmtId="0" fontId="61" fillId="0" borderId="0" xfId="626" applyFont="1" applyFill="1" applyAlignment="1">
      <alignment horizontal="center" vertical="center"/>
    </xf>
    <xf numFmtId="0" fontId="61" fillId="0" borderId="0" xfId="360" quotePrefix="1" applyNumberFormat="1" applyFont="1" applyFill="1" applyAlignment="1">
      <alignment horizontal="center"/>
    </xf>
    <xf numFmtId="0" fontId="61" fillId="0" borderId="0" xfId="360" applyNumberFormat="1" applyFont="1" applyFill="1" applyAlignment="1">
      <alignment horizontal="center"/>
    </xf>
    <xf numFmtId="0" fontId="61" fillId="0" borderId="0" xfId="626" quotePrefix="1" applyFont="1" applyFill="1" applyAlignment="1">
      <alignment horizontal="center"/>
    </xf>
    <xf numFmtId="0" fontId="61" fillId="0" borderId="0" xfId="640" quotePrefix="1" applyFont="1" applyFill="1" applyBorder="1" applyAlignment="1">
      <alignment horizontal="center"/>
    </xf>
    <xf numFmtId="0" fontId="81" fillId="0" borderId="0" xfId="640" applyFont="1" applyFill="1" applyBorder="1" applyAlignment="1">
      <alignment vertical="top"/>
    </xf>
    <xf numFmtId="0" fontId="81" fillId="0" borderId="0" xfId="0" quotePrefix="1" applyFont="1" applyAlignment="1">
      <alignment horizontal="center" vertical="top"/>
    </xf>
    <xf numFmtId="0" fontId="105" fillId="0" borderId="0" xfId="640" quotePrefix="1" applyFont="1" applyAlignment="1">
      <alignment horizontal="center"/>
    </xf>
    <xf numFmtId="0" fontId="105" fillId="0" borderId="0" xfId="640" applyFont="1" applyAlignment="1">
      <alignment horizontal="center"/>
    </xf>
    <xf numFmtId="0" fontId="81" fillId="0" borderId="0" xfId="640" quotePrefix="1" applyFont="1" applyFill="1" applyAlignment="1">
      <alignment horizontal="center"/>
    </xf>
    <xf numFmtId="0" fontId="81" fillId="0" borderId="23" xfId="0" applyFont="1" applyBorder="1" applyAlignment="1">
      <alignment horizontal="center" vertical="center" wrapText="1"/>
    </xf>
    <xf numFmtId="0" fontId="61" fillId="0" borderId="0" xfId="633" applyFont="1" applyFill="1" applyAlignment="1">
      <alignment horizontal="center" vertical="center"/>
    </xf>
    <xf numFmtId="0" fontId="61" fillId="0" borderId="23" xfId="633" applyFont="1" applyFill="1" applyBorder="1" applyAlignment="1">
      <alignment horizontal="center" vertical="center" wrapText="1"/>
    </xf>
    <xf numFmtId="0" fontId="61" fillId="0" borderId="0" xfId="633" applyFont="1" applyFill="1" applyBorder="1" applyAlignment="1">
      <alignment horizontal="center" vertical="center" wrapText="1"/>
    </xf>
    <xf numFmtId="0" fontId="61" fillId="0" borderId="2" xfId="633" applyFont="1" applyFill="1" applyBorder="1" applyAlignment="1">
      <alignment horizontal="center" vertical="center" wrapText="1"/>
    </xf>
    <xf numFmtId="0" fontId="61" fillId="0" borderId="23" xfId="633" applyFont="1" applyBorder="1" applyAlignment="1">
      <alignment horizontal="center" vertical="center" wrapText="1"/>
    </xf>
    <xf numFmtId="0" fontId="61" fillId="0" borderId="0" xfId="633" applyFont="1" applyBorder="1" applyAlignment="1">
      <alignment horizontal="center" vertical="center" wrapText="1"/>
    </xf>
    <xf numFmtId="0" fontId="61" fillId="0" borderId="2" xfId="633" applyFont="1" applyBorder="1" applyAlignment="1">
      <alignment horizontal="center" vertical="center" wrapText="1"/>
    </xf>
    <xf numFmtId="0" fontId="61" fillId="0" borderId="0" xfId="640" quotePrefix="1" applyFont="1" applyFill="1" applyAlignment="1">
      <alignment horizontal="center"/>
    </xf>
    <xf numFmtId="0" fontId="61" fillId="0" borderId="0" xfId="634" applyFont="1" applyFill="1" applyAlignment="1">
      <alignment horizontal="justify" vertical="top"/>
    </xf>
    <xf numFmtId="0" fontId="59" fillId="0" borderId="0" xfId="0" applyFont="1" applyFill="1" applyAlignment="1">
      <alignment horizontal="justify" vertical="top"/>
    </xf>
    <xf numFmtId="0" fontId="59" fillId="0" borderId="0" xfId="634" applyFont="1" applyFill="1" applyAlignment="1">
      <alignment horizontal="justify" vertical="top"/>
    </xf>
    <xf numFmtId="0" fontId="59" fillId="0" borderId="0" xfId="634" applyFont="1" applyFill="1" applyAlignment="1">
      <alignment horizontal="justify" vertical="top" wrapText="1"/>
    </xf>
    <xf numFmtId="0" fontId="59" fillId="0" borderId="0" xfId="640" applyFont="1" applyFill="1" applyBorder="1" applyAlignment="1">
      <alignment horizontal="justify" vertical="top"/>
    </xf>
    <xf numFmtId="0" fontId="59" fillId="0" borderId="0" xfId="0" applyNumberFormat="1" applyFont="1" applyFill="1" applyAlignment="1">
      <alignment horizontal="justify" vertical="top" shrinkToFit="1"/>
    </xf>
    <xf numFmtId="0" fontId="59" fillId="0" borderId="0" xfId="640" applyNumberFormat="1" applyFont="1" applyFill="1" applyAlignment="1">
      <alignment horizontal="justify" vertical="top" wrapText="1"/>
    </xf>
    <xf numFmtId="0" fontId="0" fillId="0" borderId="0" xfId="0" applyFill="1" applyAlignment="1">
      <alignment horizontal="justify" vertical="top" wrapText="1"/>
    </xf>
    <xf numFmtId="198" fontId="59" fillId="0" borderId="0" xfId="640" applyNumberFormat="1" applyFont="1" applyFill="1" applyAlignment="1">
      <alignment horizontal="justify" vertical="top" wrapText="1"/>
    </xf>
    <xf numFmtId="166" fontId="97" fillId="33" borderId="18" xfId="360" applyNumberFormat="1" applyFont="1" applyFill="1" applyBorder="1" applyAlignment="1">
      <alignment horizontal="center" vertical="center" wrapText="1"/>
    </xf>
    <xf numFmtId="166" fontId="97" fillId="33" borderId="19" xfId="360" applyNumberFormat="1" applyFont="1" applyFill="1" applyBorder="1" applyAlignment="1">
      <alignment horizontal="center" vertical="center" wrapText="1"/>
    </xf>
    <xf numFmtId="43" fontId="97" fillId="33" borderId="18" xfId="360" applyFont="1" applyFill="1" applyBorder="1" applyAlignment="1">
      <alignment horizontal="center" vertical="center" wrapText="1"/>
    </xf>
    <xf numFmtId="43" fontId="97" fillId="33" borderId="19" xfId="360" applyFont="1" applyFill="1" applyBorder="1" applyAlignment="1">
      <alignment horizontal="center" vertical="center" wrapText="1"/>
    </xf>
    <xf numFmtId="0" fontId="101" fillId="0" borderId="30" xfId="529" applyFont="1" applyFill="1" applyBorder="1" applyAlignment="1">
      <alignment horizontal="center" vertical="center" wrapText="1"/>
    </xf>
    <xf numFmtId="0" fontId="101" fillId="0" borderId="7" xfId="529" applyFont="1" applyFill="1" applyBorder="1" applyAlignment="1">
      <alignment horizontal="center" vertical="center" wrapText="1"/>
    </xf>
    <xf numFmtId="0" fontId="101" fillId="0" borderId="29" xfId="529" applyFont="1" applyFill="1" applyBorder="1" applyAlignment="1">
      <alignment horizontal="center" vertical="center" wrapText="1"/>
    </xf>
    <xf numFmtId="0" fontId="101" fillId="0" borderId="31" xfId="529" applyFont="1" applyFill="1" applyBorder="1" applyAlignment="1">
      <alignment horizontal="center" vertical="center" wrapText="1"/>
    </xf>
    <xf numFmtId="0" fontId="101" fillId="0" borderId="28" xfId="529" applyFont="1" applyFill="1" applyBorder="1" applyAlignment="1">
      <alignment horizontal="center" vertical="center" wrapText="1"/>
    </xf>
    <xf numFmtId="0" fontId="101" fillId="0" borderId="18" xfId="529" applyFont="1" applyFill="1" applyBorder="1" applyAlignment="1">
      <alignment horizontal="center" vertical="center" wrapText="1"/>
    </xf>
    <xf numFmtId="0" fontId="101" fillId="0" borderId="20" xfId="529" applyFont="1" applyFill="1" applyBorder="1" applyAlignment="1">
      <alignment horizontal="center" vertical="center" wrapText="1"/>
    </xf>
    <xf numFmtId="0" fontId="101" fillId="0" borderId="30" xfId="529" quotePrefix="1" applyFont="1" applyFill="1" applyBorder="1" applyAlignment="1">
      <alignment horizontal="center" vertical="center" wrapText="1"/>
    </xf>
    <xf numFmtId="0" fontId="101" fillId="0" borderId="7" xfId="529" quotePrefix="1" applyFont="1" applyFill="1" applyBorder="1" applyAlignment="1">
      <alignment horizontal="center" vertical="center" wrapText="1"/>
    </xf>
    <xf numFmtId="0" fontId="101" fillId="0" borderId="29" xfId="529" quotePrefix="1" applyFont="1" applyFill="1" applyBorder="1" applyAlignment="1">
      <alignment horizontal="center" vertical="center" wrapText="1"/>
    </xf>
    <xf numFmtId="0" fontId="101" fillId="0" borderId="34" xfId="529" applyFont="1" applyFill="1" applyBorder="1" applyAlignment="1">
      <alignment horizontal="center" vertical="center" wrapText="1"/>
    </xf>
    <xf numFmtId="0" fontId="101" fillId="0" borderId="27" xfId="529" applyFont="1" applyFill="1" applyBorder="1" applyAlignment="1">
      <alignment horizontal="center" vertical="center" wrapText="1"/>
    </xf>
    <xf numFmtId="0" fontId="73" fillId="0" borderId="0" xfId="629" applyNumberFormat="1" applyFont="1" applyFill="1" applyAlignment="1">
      <alignment horizontal="justify" vertical="top" wrapText="1"/>
    </xf>
    <xf numFmtId="0" fontId="73" fillId="0" borderId="0" xfId="630" applyFont="1" applyFill="1" applyAlignment="1">
      <alignment horizontal="justify" vertical="top" wrapText="1"/>
    </xf>
    <xf numFmtId="0" fontId="61" fillId="0" borderId="0" xfId="640" applyFont="1" applyFill="1" applyAlignment="1">
      <alignment horizontal="center"/>
    </xf>
    <xf numFmtId="0" fontId="59" fillId="0" borderId="0" xfId="631" applyFont="1" applyFill="1" applyAlignment="1">
      <alignment horizontal="justify" vertical="top" wrapText="1"/>
    </xf>
    <xf numFmtId="0" fontId="0" fillId="0" borderId="0" xfId="0"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pplyProtection="1">
      <alignment horizontal="justify" vertical="top" wrapText="1"/>
    </xf>
    <xf numFmtId="0" fontId="0" fillId="0" borderId="0" xfId="0" applyFill="1" applyAlignment="1" applyProtection="1">
      <alignment horizontal="justify" vertical="top" wrapText="1"/>
      <protection locked="0"/>
    </xf>
    <xf numFmtId="0" fontId="61" fillId="0" borderId="30" xfId="640" quotePrefix="1" applyFont="1" applyFill="1" applyBorder="1" applyAlignment="1">
      <alignment horizontal="center"/>
    </xf>
    <xf numFmtId="0" fontId="61" fillId="0" borderId="7" xfId="640" quotePrefix="1" applyFont="1" applyFill="1" applyBorder="1" applyAlignment="1">
      <alignment horizontal="center"/>
    </xf>
    <xf numFmtId="0" fontId="61" fillId="0" borderId="29" xfId="640" quotePrefix="1" applyFont="1" applyFill="1" applyBorder="1" applyAlignment="1">
      <alignment horizontal="center"/>
    </xf>
    <xf numFmtId="0" fontId="59" fillId="0" borderId="0" xfId="0" applyFont="1" applyFill="1" applyAlignment="1">
      <alignment horizontal="justify" vertical="top" wrapText="1"/>
    </xf>
    <xf numFmtId="0" fontId="59" fillId="0" borderId="0" xfId="640" applyFont="1" applyFill="1" applyAlignment="1">
      <alignment vertical="top" wrapText="1"/>
    </xf>
    <xf numFmtId="0" fontId="0" fillId="0" borderId="0" xfId="0" applyAlignment="1">
      <alignment vertical="top" wrapText="1"/>
    </xf>
    <xf numFmtId="0" fontId="73" fillId="0" borderId="0" xfId="630" applyNumberFormat="1" applyFont="1" applyFill="1" applyAlignment="1">
      <alignment horizontal="justify" vertical="top" wrapText="1"/>
    </xf>
    <xf numFmtId="0" fontId="61" fillId="0" borderId="0" xfId="640" quotePrefix="1" applyFont="1" applyAlignment="1">
      <alignment horizontal="center"/>
    </xf>
    <xf numFmtId="0" fontId="59" fillId="0" borderId="0" xfId="640" applyFont="1" applyFill="1" applyAlignment="1">
      <alignment horizontal="justify" vertical="top"/>
    </xf>
    <xf numFmtId="0" fontId="0" fillId="0" borderId="0" xfId="0" applyAlignment="1"/>
    <xf numFmtId="0" fontId="59" fillId="0" borderId="0" xfId="641" applyFont="1" applyFill="1" applyAlignment="1">
      <alignment horizontal="justify" vertical="top"/>
    </xf>
    <xf numFmtId="0" fontId="59" fillId="0" borderId="0" xfId="527" applyFont="1" applyFill="1" applyAlignment="1">
      <alignment horizontal="justify" vertical="top" wrapText="1"/>
    </xf>
    <xf numFmtId="0" fontId="59" fillId="0" borderId="0" xfId="0" applyFont="1" applyFill="1" applyAlignment="1">
      <alignment vertical="top" wrapText="1"/>
    </xf>
    <xf numFmtId="0" fontId="59" fillId="0" borderId="0" xfId="641" applyNumberFormat="1" applyFont="1" applyFill="1" applyAlignment="1">
      <alignment horizontal="justify" vertical="top"/>
    </xf>
    <xf numFmtId="0" fontId="61" fillId="34" borderId="30" xfId="640" quotePrefix="1" applyFont="1" applyFill="1" applyBorder="1" applyAlignment="1">
      <alignment horizontal="center"/>
    </xf>
    <xf numFmtId="0" fontId="61" fillId="34" borderId="7" xfId="640" quotePrefix="1" applyFont="1" applyFill="1" applyBorder="1" applyAlignment="1">
      <alignment horizontal="center"/>
    </xf>
    <xf numFmtId="0" fontId="61" fillId="34" borderId="29" xfId="640" quotePrefix="1" applyFont="1" applyFill="1" applyBorder="1" applyAlignment="1">
      <alignment horizontal="center"/>
    </xf>
    <xf numFmtId="0" fontId="61" fillId="0" borderId="2" xfId="360" quotePrefix="1" applyNumberFormat="1" applyFont="1" applyFill="1" applyBorder="1" applyAlignment="1">
      <alignment horizontal="center"/>
    </xf>
    <xf numFmtId="0" fontId="73" fillId="0" borderId="0" xfId="629" applyNumberFormat="1" applyFont="1" applyAlignment="1">
      <alignment horizontal="justify" vertical="top" wrapText="1"/>
    </xf>
    <xf numFmtId="0" fontId="73" fillId="0" borderId="0" xfId="629" applyFont="1" applyAlignment="1">
      <alignment horizontal="justify" vertical="top" wrapText="1"/>
    </xf>
    <xf numFmtId="43" fontId="76" fillId="0" borderId="30" xfId="373" applyFont="1" applyFill="1" applyBorder="1" applyAlignment="1">
      <alignment horizontal="center" vertical="center" wrapText="1"/>
    </xf>
    <xf numFmtId="43" fontId="76" fillId="0" borderId="29" xfId="373" applyFont="1" applyFill="1" applyBorder="1" applyAlignment="1">
      <alignment horizontal="center" vertical="center" wrapText="1"/>
    </xf>
    <xf numFmtId="166" fontId="76" fillId="0" borderId="31" xfId="417" applyNumberFormat="1" applyFont="1" applyFill="1" applyBorder="1" applyAlignment="1">
      <alignment horizontal="center" vertical="center" wrapText="1"/>
    </xf>
    <xf numFmtId="0" fontId="0" fillId="0" borderId="34" xfId="0" applyBorder="1" applyAlignment="1">
      <alignment horizontal="center" vertical="center" wrapText="1"/>
    </xf>
    <xf numFmtId="0" fontId="77" fillId="0" borderId="28" xfId="0" applyFont="1" applyBorder="1" applyAlignment="1">
      <alignment horizontal="center" vertical="center" wrapText="1"/>
    </xf>
    <xf numFmtId="0" fontId="0" fillId="0" borderId="27" xfId="0" applyBorder="1" applyAlignment="1">
      <alignment horizontal="center" vertical="center" wrapText="1"/>
    </xf>
    <xf numFmtId="166" fontId="76" fillId="0" borderId="30" xfId="417" quotePrefix="1" applyNumberFormat="1" applyFont="1" applyFill="1" applyBorder="1" applyAlignment="1">
      <alignment horizontal="center" vertical="center" wrapText="1"/>
    </xf>
    <xf numFmtId="166" fontId="76" fillId="0" borderId="7" xfId="417" quotePrefix="1" applyNumberFormat="1" applyFont="1" applyFill="1" applyBorder="1" applyAlignment="1">
      <alignment horizontal="center" vertical="center" wrapText="1"/>
    </xf>
    <xf numFmtId="166" fontId="76" fillId="0" borderId="29" xfId="417" quotePrefix="1" applyNumberFormat="1" applyFont="1" applyFill="1" applyBorder="1" applyAlignment="1">
      <alignment horizontal="center" vertical="center" wrapText="1"/>
    </xf>
    <xf numFmtId="43" fontId="76" fillId="0" borderId="1" xfId="373" applyFont="1" applyFill="1" applyBorder="1" applyAlignment="1">
      <alignment horizontal="center" vertical="center" wrapText="1"/>
    </xf>
    <xf numFmtId="0" fontId="77" fillId="0" borderId="1" xfId="0" applyFont="1" applyBorder="1" applyAlignment="1">
      <alignment horizontal="center" vertical="center" wrapText="1"/>
    </xf>
    <xf numFmtId="0" fontId="76" fillId="0" borderId="23" xfId="373" quotePrefix="1" applyNumberFormat="1" applyFont="1" applyFill="1" applyBorder="1" applyAlignment="1">
      <alignment horizontal="center" vertical="center"/>
    </xf>
    <xf numFmtId="0" fontId="75" fillId="0" borderId="23" xfId="0" applyFont="1" applyBorder="1" applyAlignment="1">
      <alignment horizontal="center" vertical="center"/>
    </xf>
    <xf numFmtId="166" fontId="61" fillId="0" borderId="0" xfId="626" applyNumberFormat="1" applyFont="1" applyFill="1" applyAlignment="1">
      <alignment horizontal="center" vertical="center" wrapText="1"/>
    </xf>
    <xf numFmtId="166" fontId="61" fillId="0" borderId="0" xfId="634" applyNumberFormat="1" applyFont="1" applyFill="1" applyAlignment="1">
      <alignment horizontal="center" vertical="center" wrapText="1"/>
    </xf>
    <xf numFmtId="166" fontId="61" fillId="0" borderId="0" xfId="360" applyNumberFormat="1" applyFont="1" applyFill="1" applyAlignment="1">
      <alignment horizontal="center" vertical="center"/>
    </xf>
    <xf numFmtId="0" fontId="81" fillId="0" borderId="23" xfId="640" applyFont="1" applyFill="1" applyBorder="1" applyAlignment="1">
      <alignment horizontal="center" vertical="center"/>
    </xf>
    <xf numFmtId="0" fontId="81" fillId="0" borderId="0" xfId="640" applyFont="1" applyFill="1" applyBorder="1" applyAlignment="1">
      <alignment horizontal="center" vertical="center"/>
    </xf>
    <xf numFmtId="0" fontId="81" fillId="0" borderId="2" xfId="640" applyFont="1" applyFill="1" applyBorder="1" applyAlignment="1">
      <alignment horizontal="center" vertical="center"/>
    </xf>
    <xf numFmtId="0" fontId="81" fillId="0" borderId="0" xfId="0" quotePrefix="1" applyFont="1" applyBorder="1" applyAlignment="1">
      <alignment horizontal="center" vertical="center" wrapText="1"/>
    </xf>
    <xf numFmtId="0" fontId="81" fillId="0" borderId="2" xfId="0" quotePrefix="1" applyFont="1" applyBorder="1" applyAlignment="1">
      <alignment horizontal="center" vertical="center" wrapText="1"/>
    </xf>
    <xf numFmtId="0" fontId="61" fillId="0" borderId="23" xfId="626" applyFont="1" applyFill="1" applyBorder="1" applyAlignment="1">
      <alignment horizontal="center" vertical="center" wrapText="1"/>
    </xf>
    <xf numFmtId="0" fontId="61" fillId="0" borderId="0" xfId="626" applyFont="1" applyFill="1" applyBorder="1" applyAlignment="1">
      <alignment horizontal="center" vertical="center" wrapText="1"/>
    </xf>
    <xf numFmtId="0" fontId="61" fillId="0" borderId="2" xfId="626" applyFont="1" applyFill="1" applyBorder="1" applyAlignment="1">
      <alignment horizontal="center" vertical="center" wrapText="1"/>
    </xf>
    <xf numFmtId="0" fontId="0" fillId="0" borderId="0" xfId="0" applyAlignment="1">
      <alignment horizontal="left" vertical="center" wrapText="1"/>
    </xf>
    <xf numFmtId="0" fontId="66" fillId="0" borderId="24" xfId="0" applyFont="1" applyBorder="1" applyAlignment="1">
      <alignment horizontal="center" vertical="center" wrapText="1" shrinkToFit="1"/>
    </xf>
    <xf numFmtId="0" fontId="0" fillId="0" borderId="37" xfId="0" applyBorder="1" applyAlignment="1">
      <alignment horizontal="center" vertical="center" wrapText="1" shrinkToFit="1"/>
    </xf>
    <xf numFmtId="0" fontId="0" fillId="0" borderId="25" xfId="0" applyBorder="1" applyAlignment="1">
      <alignment horizontal="center" vertical="center" wrapText="1" shrinkToFit="1"/>
    </xf>
    <xf numFmtId="0" fontId="66" fillId="0" borderId="35" xfId="0" applyFont="1" applyBorder="1" applyAlignment="1">
      <alignment horizontal="center"/>
    </xf>
    <xf numFmtId="0" fontId="66" fillId="0" borderId="6" xfId="0" applyFont="1" applyBorder="1" applyAlignment="1">
      <alignment horizontal="center"/>
    </xf>
    <xf numFmtId="0" fontId="66" fillId="0" borderId="36" xfId="0" applyFont="1" applyBorder="1" applyAlignment="1">
      <alignment horizontal="center"/>
    </xf>
    <xf numFmtId="0" fontId="0" fillId="0" borderId="30" xfId="0" applyBorder="1" applyAlignment="1">
      <alignment horizontal="center"/>
    </xf>
    <xf numFmtId="0" fontId="0" fillId="0" borderId="7" xfId="0" applyBorder="1" applyAlignment="1">
      <alignment horizontal="center"/>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shrinkToFit="1"/>
    </xf>
    <xf numFmtId="0" fontId="0" fillId="0" borderId="32" xfId="0" applyBorder="1" applyAlignment="1">
      <alignment horizontal="center" vertical="center" wrapText="1" shrinkToFit="1"/>
    </xf>
    <xf numFmtId="0" fontId="59" fillId="0" borderId="0" xfId="0" applyFont="1" applyFill="1" applyAlignment="1">
      <alignment horizontal="justify" vertical="center"/>
    </xf>
    <xf numFmtId="0" fontId="73" fillId="0" borderId="0" xfId="629" applyFont="1" applyAlignment="1">
      <alignment horizontal="justify"/>
    </xf>
    <xf numFmtId="166" fontId="76" fillId="0" borderId="30" xfId="417"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29" xfId="0" applyBorder="1" applyAlignment="1">
      <alignment horizontal="center" vertical="center" wrapText="1"/>
    </xf>
  </cellXfs>
  <cellStyles count="792">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 Writer Import]_x000d__x000a_Display Dialog=No_x000d__x000a__x000d__x000a_[Horizontal Arrange]_x000d__x000a_Dimensions Interlocking=Yes_x000d__x000a_Sum Hierarchy=Yes_x000d__x000a_Generate 3" xfId="4"/>
    <cellStyle name=" Writer Import]_x000d__x000a_Display Dialog=No_x000d__x000a__x000d__x000a_[Horizontal Arrange]_x000d__x000a_Dimensions Interlocking=Yes_x000d__x000a_Sum Hierarchy=Yes_x000d__x000a_Generate 4" xfId="5"/>
    <cellStyle name=" Writer Import]_x000d__x000a_Display Dialog=No_x000d__x000a__x000d__x000a_[Horizontal Arrange]_x000d__x000a_Dimensions Interlocking=Yes_x000d__x000a_Sum Hierarchy=Yes_x000d__x000a_Generate_5.2" xfId="6"/>
    <cellStyle name="_accounts disclosure" xfId="7"/>
    <cellStyle name="_accounts disclosure 2" xfId="8"/>
    <cellStyle name="_accounts disclosure 3" xfId="9"/>
    <cellStyle name="_accounts disclosure 4" xfId="10"/>
    <cellStyle name="_accounts disclosure_31 Dec Accounts 2009-NIUT" xfId="11"/>
    <cellStyle name="_accounts disclosure_31 Dec Accounts 2009-NIUT after element" xfId="12"/>
    <cellStyle name="_accounts disclosure_31 Dec Accounts 2009-NIUT b" xfId="13"/>
    <cellStyle name="_accounts disclosure_5.2" xfId="14"/>
    <cellStyle name="_accounts disclosure_Accounts 2009-NIUT NON LOC-after RAJ final-signed" xfId="15"/>
    <cellStyle name="_accounts disclosure_After annexure changes NB final" xfId="16"/>
    <cellStyle name="_accounts disclosure_Cash Flow " xfId="17"/>
    <cellStyle name="_accounts disclosure_Cash flow working" xfId="18"/>
    <cellStyle name="_accounts disclosure_Distribution " xfId="19"/>
    <cellStyle name="_accounts disclosure_Final disclosure final" xfId="20"/>
    <cellStyle name="_accounts disclosure_Income Statement" xfId="21"/>
    <cellStyle name="_accounts disclosure_Notes 1-3" xfId="22"/>
    <cellStyle name="_accounts disclosure_Sheet2" xfId="23"/>
    <cellStyle name="_accounts disclosure_Statement of Financial Position" xfId="24"/>
    <cellStyle name="_accounts disclosure_UHF" xfId="25"/>
    <cellStyle name="_FINALIFRS-LOC Accounts -(30June09)" xfId="26"/>
    <cellStyle name="_FINALIFRS-LOC Accounts -(30June09) 2" xfId="27"/>
    <cellStyle name="_FINALIFRS-LOC Accounts -(30June09) 3" xfId="28"/>
    <cellStyle name="_FINALIFRS-LOC Accounts -(30June09) 4" xfId="29"/>
    <cellStyle name="_FINALIFRS-LOC Accounts -(30June09)_5.2" xfId="30"/>
    <cellStyle name="_FINALIFRS-LOC Accounts -(30June09)_Accounts 2009-NIUT NON LOC-after RAJ final-signed" xfId="31"/>
    <cellStyle name="_FINALIFRS-LOC Accounts -(30June09)_Accounts 2009-NIUT NON LOC-after RAJ final-signed 2" xfId="32"/>
    <cellStyle name="_FINALIFRS-LOC Accounts -(30June09)_Accounts 2009-NIUT NON LOC-after RAJ final-signed 3" xfId="33"/>
    <cellStyle name="_FINALIFRS-LOC Accounts -(30June09)_Accounts 2009-NIUT NON LOC-after RAJ final-signed 4" xfId="34"/>
    <cellStyle name="_FINALIFRS-LOC Accounts -(30June09)_Accounts 2009-NIUT NON LOC-after RAJ final-signed_Accounts(31Dec2010)-SEF(FINAL)" xfId="35"/>
    <cellStyle name="_FINALIFRS-LOC Accounts -(30June09)_Accounts 2009-NIUT NON LOC-after RAJ final-signed_Accounts(31Dec2010)-SEF(for client)" xfId="36"/>
    <cellStyle name="_FINALIFRS-LOC Accounts -(30June09)_Accounts 2009-NIUT NON LOC-after RAJ final-signed_Accounts(31Dec2010)-SEF(formated-final" xfId="37"/>
    <cellStyle name="_FINALIFRS-LOC Accounts -(30June09)_Accounts 2009-NIUT NON LOC-after RAJ final-signed_Cash Flow " xfId="38"/>
    <cellStyle name="_FINALIFRS-LOC Accounts -(30June09)_Accounts 2009-NIUT NON LOC-after RAJ final-signed_Cash flow working" xfId="39"/>
    <cellStyle name="_FINALIFRS-LOC Accounts -(30June09)_Accounts 2009-NIUT NON LOC-after RAJ final-signed_Copy of NIT (SEF) FST - FINAL after final changes " xfId="40"/>
    <cellStyle name="_FINALIFRS-LOC Accounts -(30June09)_Accounts 2009-NIUT NON LOC-after RAJ final-signed_Distribution " xfId="41"/>
    <cellStyle name="_FINALIFRS-LOC Accounts -(30June09)_Accounts 2009-NIUT NON LOC-after RAJ final-signed_FST - NIT SEF 2011" xfId="42"/>
    <cellStyle name="_FINALIFRS-LOC Accounts -(30June09)_Accounts 2009-NIUT NON LOC-after RAJ final-signed_Income Statement" xfId="43"/>
    <cellStyle name="_FINALIFRS-LOC Accounts -(30June09)_Accounts 2009-NIUT NON LOC-after RAJ final-signed_Sheet2" xfId="44"/>
    <cellStyle name="_FINALIFRS-LOC Accounts -(30June09)_Accounts 2009-NIUT NON LOC-after RAJ final-signed_Statement of Financial Position" xfId="45"/>
    <cellStyle name="_FINALIFRS-LOC Accounts -(30June09)_Cash Flow " xfId="46"/>
    <cellStyle name="_FINALIFRS-LOC Accounts -(30June09)_Cash flow working" xfId="47"/>
    <cellStyle name="_FINALIFRS-LOC Accounts -(30June09)_Distribution " xfId="48"/>
    <cellStyle name="_FINALIFRS-LOC Accounts -(30June09)_Income Statement" xfId="49"/>
    <cellStyle name="_FINALIFRS-LOC Accounts -(30June09)_Notes 1-3" xfId="50"/>
    <cellStyle name="_FINALIFRS-LOC Accounts -(30June09)_Sheet2" xfId="51"/>
    <cellStyle name="_FINALIFRS-LOC Accounts -(30June09)_Sheet2 2" xfId="52"/>
    <cellStyle name="_FINALIFRS-LOC Accounts -(30June09)_Sheet2 3" xfId="53"/>
    <cellStyle name="_FINALIFRS-LOC Accounts -(30June09)_Sheet2 4" xfId="54"/>
    <cellStyle name="_FINALIFRS-LOC Accounts -(30June09)_Sheet2_1" xfId="55"/>
    <cellStyle name="_FINALIFRS-LOC Accounts -(30June09)_Sheet2_5.2" xfId="56"/>
    <cellStyle name="_FINALIFRS-LOC Accounts -(30June09)_Sheet2_Cash Flow " xfId="57"/>
    <cellStyle name="_FINALIFRS-LOC Accounts -(30June09)_Sheet2_Cash flow working" xfId="58"/>
    <cellStyle name="_FINALIFRS-LOC Accounts -(30June09)_Sheet2_Distribution " xfId="59"/>
    <cellStyle name="_FINALIFRS-LOC Accounts -(30June09)_Sheet2_Income Statement" xfId="60"/>
    <cellStyle name="_FINALIFRS-LOC Accounts -(30June09)_Sheet2_Notes 1-3" xfId="61"/>
    <cellStyle name="_FINALIFRS-LOC Accounts -(30June09)_Sheet2_Sheet2" xfId="62"/>
    <cellStyle name="_FINALIFRS-LOC Accounts -(30June09)_Sheet2_Statement of Financial Position" xfId="63"/>
    <cellStyle name="_FINALIFRS-LOC Accounts -(30June09)_Sheet2_UHF" xfId="64"/>
    <cellStyle name="_FINALIFRS-LOC Accounts -(30June09)_Statement of Financial Position" xfId="65"/>
    <cellStyle name="_FINALIFRS-LOC Accounts -(30June09)_UHF" xfId="66"/>
    <cellStyle name="_FINALIFRS-LOC Accounts -(30June09)_Xl0000000" xfId="67"/>
    <cellStyle name="_FINALIFRS-LOC Accounts -(30June09)_Xl0000000 2" xfId="68"/>
    <cellStyle name="_FINALIFRS-LOC Accounts -(30June09)_Xl0000000 3" xfId="69"/>
    <cellStyle name="_FINALIFRS-LOC Accounts -(30June09)_Xl0000000 4" xfId="70"/>
    <cellStyle name="_FINALIFRS-LOC Accounts -(30June09)_Xl0000000_31 Dec Accounts 2009-NIUT" xfId="71"/>
    <cellStyle name="_FINALIFRS-LOC Accounts -(30June09)_Xl0000000_31 Dec Accounts 2009-NIUT after element" xfId="72"/>
    <cellStyle name="_FINALIFRS-LOC Accounts -(30June09)_Xl0000000_31 Dec Accounts 2009-NIUT b" xfId="73"/>
    <cellStyle name="_FINALIFRS-LOC Accounts -(30June09)_Xl0000000_5.2" xfId="74"/>
    <cellStyle name="_FINALIFRS-LOC Accounts -(30June09)_Xl0000000_Accounts 2009-NIUT NON LOC-after RAJ final-signed" xfId="75"/>
    <cellStyle name="_FINALIFRS-LOC Accounts -(30June09)_Xl0000000_After annexure changes NB final" xfId="76"/>
    <cellStyle name="_FINALIFRS-LOC Accounts -(30June09)_Xl0000000_Cash Flow " xfId="77"/>
    <cellStyle name="_FINALIFRS-LOC Accounts -(30June09)_Xl0000000_Cash flow working" xfId="78"/>
    <cellStyle name="_FINALIFRS-LOC Accounts -(30June09)_Xl0000000_Distribution " xfId="79"/>
    <cellStyle name="_FINALIFRS-LOC Accounts -(30June09)_Xl0000000_Final disclosure final" xfId="80"/>
    <cellStyle name="_FINALIFRS-LOC Accounts -(30June09)_Xl0000000_Income Statement" xfId="81"/>
    <cellStyle name="_FINALIFRS-LOC Accounts -(30June09)_Xl0000000_Notes 1-3" xfId="82"/>
    <cellStyle name="_FINALIFRS-LOC Accounts -(30June09)_Xl0000000_Sheet2" xfId="83"/>
    <cellStyle name="_FINALIFRS-LOC Accounts -(30June09)_Xl0000000_Statement of Financial Position" xfId="84"/>
    <cellStyle name="_FINALIFRS-LOC Accounts -(30June09)_Xl0000000_UHF" xfId="85"/>
    <cellStyle name="_SAP Break ups for Dec 2008" xfId="86"/>
    <cellStyle name="_Technology MI September v2NB" xfId="87"/>
    <cellStyle name="_Technology MI September v2NB 2" xfId="88"/>
    <cellStyle name="_Technology MI September v2NB 3" xfId="89"/>
    <cellStyle name="_Technology MI September v2NB 4" xfId="90"/>
    <cellStyle name="_Technology MI September v2NB_5.2" xfId="91"/>
    <cellStyle name="_Technology MI September v2NB_Cash Flow " xfId="92"/>
    <cellStyle name="_Technology MI September v2NB_Cash flow working" xfId="93"/>
    <cellStyle name="_Technology MI September v2NB_disclosure investment emof" xfId="94"/>
    <cellStyle name="_Technology MI September v2NB_Distribution " xfId="95"/>
    <cellStyle name="_Technology MI September v2NB_Final_Accounts_2009" xfId="96"/>
    <cellStyle name="_Technology MI September v2NB_Income Statement" xfId="97"/>
    <cellStyle name="_Technology MI September v2NB_Income-Statement" xfId="98"/>
    <cellStyle name="_Technology MI September v2NB_Movement in UHF" xfId="99"/>
    <cellStyle name="_Technology MI September v2NB_NIT-EMOF SEP Accounts 2009" xfId="100"/>
    <cellStyle name="_Technology MI September v2NB_Note 11-20" xfId="101"/>
    <cellStyle name="_Technology MI September v2NB_Notes 1-3" xfId="102"/>
    <cellStyle name="_Technology MI September v2NB_Sales &amp; Redemption summary" xfId="103"/>
    <cellStyle name="_Technology MI September v2NB_Sheet2" xfId="104"/>
    <cellStyle name="_Technology MI September v2NB_Statement" xfId="105"/>
    <cellStyle name="_Technology MI September v2NB_Statement of Financial Position" xfId="106"/>
    <cellStyle name="_Technology MI September v2NB_UHF" xfId="107"/>
    <cellStyle name="£ BP" xfId="108"/>
    <cellStyle name="¥ JY" xfId="109"/>
    <cellStyle name="=C:\WINNT\SYSTEM32\COMMAND.COM" xfId="110"/>
    <cellStyle name="=C:\WINNT\SYSTEM32\COMMAND.COM 2" xfId="111"/>
    <cellStyle name="=C:\WINNT\SYSTEM32\COMMAND.COM 2 2" xfId="790"/>
    <cellStyle name="=C:\WINNT\SYSTEM32\COMMAND.COM 3" xfId="112"/>
    <cellStyle name="=C:\WINNT\SYSTEM32\COMMAND.COM 4" xfId="113"/>
    <cellStyle name="=C:\WINNT\SYSTEM32\COMMAND.COM 5" xfId="791"/>
    <cellStyle name="=C:\WINNT\SYSTEM32\COMMAND.COM_5.2" xfId="114"/>
    <cellStyle name="20% - Accent1" xfId="115" builtinId="30" customBuiltin="1"/>
    <cellStyle name="20% - Accent1 2" xfId="116"/>
    <cellStyle name="20% - Accent1 2 2" xfId="117"/>
    <cellStyle name="20% - Accent1 2 3" xfId="118"/>
    <cellStyle name="20% - Accent1 2 4" xfId="119"/>
    <cellStyle name="20% - Accent1 2_5.2" xfId="120"/>
    <cellStyle name="20% - Accent1 3" xfId="121"/>
    <cellStyle name="20% - Accent1 3 2" xfId="122"/>
    <cellStyle name="20% - Accent1 3 3" xfId="123"/>
    <cellStyle name="20% - Accent1 3 4" xfId="124"/>
    <cellStyle name="20% - Accent1 3_5.2" xfId="125"/>
    <cellStyle name="20% - Accent1 4" xfId="126"/>
    <cellStyle name="20% - Accent1 5" xfId="127"/>
    <cellStyle name="20% - Accent1 6" xfId="128"/>
    <cellStyle name="20% - Accent2" xfId="129" builtinId="34" customBuiltin="1"/>
    <cellStyle name="20% - Accent2 2" xfId="130"/>
    <cellStyle name="20% - Accent2 2 2" xfId="131"/>
    <cellStyle name="20% - Accent2 2 3" xfId="132"/>
    <cellStyle name="20% - Accent2 2 4" xfId="133"/>
    <cellStyle name="20% - Accent2 2_5.2" xfId="134"/>
    <cellStyle name="20% - Accent2 3" xfId="135"/>
    <cellStyle name="20% - Accent2 3 2" xfId="136"/>
    <cellStyle name="20% - Accent2 3 3" xfId="137"/>
    <cellStyle name="20% - Accent2 3 4" xfId="138"/>
    <cellStyle name="20% - Accent2 3_5.2" xfId="139"/>
    <cellStyle name="20% - Accent2 4" xfId="140"/>
    <cellStyle name="20% - Accent2 5" xfId="141"/>
    <cellStyle name="20% - Accent2 6" xfId="142"/>
    <cellStyle name="20% - Accent3" xfId="143" builtinId="38" customBuiltin="1"/>
    <cellStyle name="20% - Accent3 2" xfId="144"/>
    <cellStyle name="20% - Accent3 2 2" xfId="145"/>
    <cellStyle name="20% - Accent3 2 3" xfId="146"/>
    <cellStyle name="20% - Accent3 2 4" xfId="147"/>
    <cellStyle name="20% - Accent3 2_5.2" xfId="148"/>
    <cellStyle name="20% - Accent3 3" xfId="149"/>
    <cellStyle name="20% - Accent3 3 2" xfId="150"/>
    <cellStyle name="20% - Accent3 3 3" xfId="151"/>
    <cellStyle name="20% - Accent3 3 4" xfId="152"/>
    <cellStyle name="20% - Accent3 3_5.2" xfId="153"/>
    <cellStyle name="20% - Accent3 4" xfId="154"/>
    <cellStyle name="20% - Accent3 5" xfId="155"/>
    <cellStyle name="20% - Accent3 6" xfId="156"/>
    <cellStyle name="20% - Accent4" xfId="157" builtinId="42" customBuiltin="1"/>
    <cellStyle name="20% - Accent4 2" xfId="158"/>
    <cellStyle name="20% - Accent4 2 2" xfId="159"/>
    <cellStyle name="20% - Accent4 2 3" xfId="160"/>
    <cellStyle name="20% - Accent4 2 4" xfId="161"/>
    <cellStyle name="20% - Accent4 2_5.2" xfId="162"/>
    <cellStyle name="20% - Accent4 3" xfId="163"/>
    <cellStyle name="20% - Accent4 3 2" xfId="164"/>
    <cellStyle name="20% - Accent4 3 3" xfId="165"/>
    <cellStyle name="20% - Accent4 3 4" xfId="166"/>
    <cellStyle name="20% - Accent4 3_5.2" xfId="167"/>
    <cellStyle name="20% - Accent4 4" xfId="168"/>
    <cellStyle name="20% - Accent4 5" xfId="169"/>
    <cellStyle name="20% - Accent4 6" xfId="170"/>
    <cellStyle name="20% - Accent5" xfId="171" builtinId="46" customBuiltin="1"/>
    <cellStyle name="20% - Accent5 2" xfId="172"/>
    <cellStyle name="20% - Accent5 2 2" xfId="173"/>
    <cellStyle name="20% - Accent5 2 3" xfId="174"/>
    <cellStyle name="20% - Accent5 2 4" xfId="175"/>
    <cellStyle name="20% - Accent5 2_5.2" xfId="176"/>
    <cellStyle name="20% - Accent5 3" xfId="177"/>
    <cellStyle name="20% - Accent5 3 2" xfId="178"/>
    <cellStyle name="20% - Accent5 3 3" xfId="179"/>
    <cellStyle name="20% - Accent5 3 4" xfId="180"/>
    <cellStyle name="20% - Accent5 3_5.2" xfId="181"/>
    <cellStyle name="20% - Accent5 4" xfId="182"/>
    <cellStyle name="20% - Accent5 5" xfId="183"/>
    <cellStyle name="20% - Accent5 6" xfId="184"/>
    <cellStyle name="20% - Accent6" xfId="185" builtinId="50" customBuiltin="1"/>
    <cellStyle name="20% - Accent6 2" xfId="186"/>
    <cellStyle name="20% - Accent6 2 2" xfId="187"/>
    <cellStyle name="20% - Accent6 2 3" xfId="188"/>
    <cellStyle name="20% - Accent6 2 4" xfId="189"/>
    <cellStyle name="20% - Accent6 2_5.2" xfId="190"/>
    <cellStyle name="20% - Accent6 3" xfId="191"/>
    <cellStyle name="20% - Accent6 3 2" xfId="192"/>
    <cellStyle name="20% - Accent6 3 3" xfId="193"/>
    <cellStyle name="20% - Accent6 3 4" xfId="194"/>
    <cellStyle name="20% - Accent6 3_5.2" xfId="195"/>
    <cellStyle name="20% - Accent6 4" xfId="196"/>
    <cellStyle name="20% - Accent6 5" xfId="197"/>
    <cellStyle name="20% - Accent6 6" xfId="198"/>
    <cellStyle name="40% - Accent1" xfId="199" builtinId="31" customBuiltin="1"/>
    <cellStyle name="40% - Accent1 2" xfId="200"/>
    <cellStyle name="40% - Accent1 2 2" xfId="201"/>
    <cellStyle name="40% - Accent1 2 3" xfId="202"/>
    <cellStyle name="40% - Accent1 2 4" xfId="203"/>
    <cellStyle name="40% - Accent1 2_5.2" xfId="204"/>
    <cellStyle name="40% - Accent1 3" xfId="205"/>
    <cellStyle name="40% - Accent1 3 2" xfId="206"/>
    <cellStyle name="40% - Accent1 3 3" xfId="207"/>
    <cellStyle name="40% - Accent1 3 4" xfId="208"/>
    <cellStyle name="40% - Accent1 3_5.2" xfId="209"/>
    <cellStyle name="40% - Accent1 4" xfId="210"/>
    <cellStyle name="40% - Accent1 5" xfId="211"/>
    <cellStyle name="40% - Accent1 6" xfId="212"/>
    <cellStyle name="40% - Accent2" xfId="213" builtinId="35" customBuiltin="1"/>
    <cellStyle name="40% - Accent2 2" xfId="214"/>
    <cellStyle name="40% - Accent2 2 2" xfId="215"/>
    <cellStyle name="40% - Accent2 2 3" xfId="216"/>
    <cellStyle name="40% - Accent2 2 4" xfId="217"/>
    <cellStyle name="40% - Accent2 2_5.2" xfId="218"/>
    <cellStyle name="40% - Accent2 3" xfId="219"/>
    <cellStyle name="40% - Accent2 3 2" xfId="220"/>
    <cellStyle name="40% - Accent2 3 3" xfId="221"/>
    <cellStyle name="40% - Accent2 3 4" xfId="222"/>
    <cellStyle name="40% - Accent2 3_5.2" xfId="223"/>
    <cellStyle name="40% - Accent2 4" xfId="224"/>
    <cellStyle name="40% - Accent2 5" xfId="225"/>
    <cellStyle name="40% - Accent2 6" xfId="226"/>
    <cellStyle name="40% - Accent3" xfId="227" builtinId="39" customBuiltin="1"/>
    <cellStyle name="40% - Accent3 2" xfId="228"/>
    <cellStyle name="40% - Accent3 2 2" xfId="229"/>
    <cellStyle name="40% - Accent3 2 3" xfId="230"/>
    <cellStyle name="40% - Accent3 2 4" xfId="231"/>
    <cellStyle name="40% - Accent3 2_5.2" xfId="232"/>
    <cellStyle name="40% - Accent3 3" xfId="233"/>
    <cellStyle name="40% - Accent3 3 2" xfId="234"/>
    <cellStyle name="40% - Accent3 3 3" xfId="235"/>
    <cellStyle name="40% - Accent3 3 4" xfId="236"/>
    <cellStyle name="40% - Accent3 3_5.2" xfId="237"/>
    <cellStyle name="40% - Accent3 4" xfId="238"/>
    <cellStyle name="40% - Accent3 5" xfId="239"/>
    <cellStyle name="40% - Accent3 6" xfId="240"/>
    <cellStyle name="40% - Accent4" xfId="241" builtinId="43" customBuiltin="1"/>
    <cellStyle name="40% - Accent4 2" xfId="242"/>
    <cellStyle name="40% - Accent4 2 2" xfId="243"/>
    <cellStyle name="40% - Accent4 2 3" xfId="244"/>
    <cellStyle name="40% - Accent4 2 4" xfId="245"/>
    <cellStyle name="40% - Accent4 2_5.2" xfId="246"/>
    <cellStyle name="40% - Accent4 3" xfId="247"/>
    <cellStyle name="40% - Accent4 3 2" xfId="248"/>
    <cellStyle name="40% - Accent4 3 3" xfId="249"/>
    <cellStyle name="40% - Accent4 3 4" xfId="250"/>
    <cellStyle name="40% - Accent4 3_5.2" xfId="251"/>
    <cellStyle name="40% - Accent4 4" xfId="252"/>
    <cellStyle name="40% - Accent4 5" xfId="253"/>
    <cellStyle name="40% - Accent4 6" xfId="254"/>
    <cellStyle name="40% - Accent5" xfId="255" builtinId="47" customBuiltin="1"/>
    <cellStyle name="40% - Accent5 2" xfId="256"/>
    <cellStyle name="40% - Accent5 2 2" xfId="257"/>
    <cellStyle name="40% - Accent5 2 3" xfId="258"/>
    <cellStyle name="40% - Accent5 2 4" xfId="259"/>
    <cellStyle name="40% - Accent5 2_5.2" xfId="260"/>
    <cellStyle name="40% - Accent5 3" xfId="261"/>
    <cellStyle name="40% - Accent5 3 2" xfId="262"/>
    <cellStyle name="40% - Accent5 3 3" xfId="263"/>
    <cellStyle name="40% - Accent5 3 4" xfId="264"/>
    <cellStyle name="40% - Accent5 3_5.2" xfId="265"/>
    <cellStyle name="40% - Accent5 4" xfId="266"/>
    <cellStyle name="40% - Accent5 5" xfId="267"/>
    <cellStyle name="40% - Accent5 6" xfId="268"/>
    <cellStyle name="40% - Accent6" xfId="269" builtinId="51" customBuiltin="1"/>
    <cellStyle name="40% - Accent6 2" xfId="270"/>
    <cellStyle name="40% - Accent6 2 2" xfId="271"/>
    <cellStyle name="40% - Accent6 2 3" xfId="272"/>
    <cellStyle name="40% - Accent6 2 4" xfId="273"/>
    <cellStyle name="40% - Accent6 2_5.2" xfId="274"/>
    <cellStyle name="40% - Accent6 3" xfId="275"/>
    <cellStyle name="40% - Accent6 3 2" xfId="276"/>
    <cellStyle name="40% - Accent6 3 3" xfId="277"/>
    <cellStyle name="40% - Accent6 3 4" xfId="278"/>
    <cellStyle name="40% - Accent6 3_5.2" xfId="279"/>
    <cellStyle name="40% - Accent6 4" xfId="280"/>
    <cellStyle name="40% - Accent6 5" xfId="281"/>
    <cellStyle name="40% - Accent6 6" xfId="282"/>
    <cellStyle name="60% - Accent1" xfId="283" builtinId="32" customBuiltin="1"/>
    <cellStyle name="60% - Accent1 2" xfId="284"/>
    <cellStyle name="60% - Accent1 3" xfId="285"/>
    <cellStyle name="60% - Accent1 4" xfId="286"/>
    <cellStyle name="60% - Accent2" xfId="287" builtinId="36" customBuiltin="1"/>
    <cellStyle name="60% - Accent2 2" xfId="288"/>
    <cellStyle name="60% - Accent2 3" xfId="289"/>
    <cellStyle name="60% - Accent2 4" xfId="290"/>
    <cellStyle name="60% - Accent3" xfId="291" builtinId="40" customBuiltin="1"/>
    <cellStyle name="60% - Accent3 2" xfId="292"/>
    <cellStyle name="60% - Accent3 3" xfId="293"/>
    <cellStyle name="60% - Accent3 4" xfId="294"/>
    <cellStyle name="60% - Accent4" xfId="295" builtinId="44" customBuiltin="1"/>
    <cellStyle name="60% - Accent4 2" xfId="296"/>
    <cellStyle name="60% - Accent4 3" xfId="297"/>
    <cellStyle name="60% - Accent4 4" xfId="298"/>
    <cellStyle name="60% - Accent5" xfId="299" builtinId="48" customBuiltin="1"/>
    <cellStyle name="60% - Accent5 2" xfId="300"/>
    <cellStyle name="60% - Accent5 3" xfId="301"/>
    <cellStyle name="60% - Accent5 4" xfId="302"/>
    <cellStyle name="60% - Accent6" xfId="303" builtinId="52" customBuiltin="1"/>
    <cellStyle name="60% - Accent6 2" xfId="304"/>
    <cellStyle name="60% - Accent6 3" xfId="305"/>
    <cellStyle name="60% - Accent6 4" xfId="306"/>
    <cellStyle name="9999/99/99" xfId="307"/>
    <cellStyle name="Accent1" xfId="308" builtinId="29" customBuiltin="1"/>
    <cellStyle name="Accent1 2" xfId="309"/>
    <cellStyle name="Accent1 3" xfId="310"/>
    <cellStyle name="Accent1 4" xfId="311"/>
    <cellStyle name="Accent2" xfId="312" builtinId="33" customBuiltin="1"/>
    <cellStyle name="Accent2 2" xfId="313"/>
    <cellStyle name="Accent2 3" xfId="314"/>
    <cellStyle name="Accent2 4" xfId="315"/>
    <cellStyle name="Accent3" xfId="316" builtinId="37" customBuiltin="1"/>
    <cellStyle name="Accent3 2" xfId="317"/>
    <cellStyle name="Accent3 3" xfId="318"/>
    <cellStyle name="Accent3 4" xfId="319"/>
    <cellStyle name="Accent4" xfId="320" builtinId="41" customBuiltin="1"/>
    <cellStyle name="Accent4 2" xfId="321"/>
    <cellStyle name="Accent4 3" xfId="322"/>
    <cellStyle name="Accent4 4" xfId="323"/>
    <cellStyle name="Accent5" xfId="324" builtinId="45" customBuiltin="1"/>
    <cellStyle name="Accent5 2" xfId="325"/>
    <cellStyle name="Accent5 3" xfId="326"/>
    <cellStyle name="Accent5 4" xfId="327"/>
    <cellStyle name="Accent6" xfId="328" builtinId="49" customBuiltin="1"/>
    <cellStyle name="Accent6 2" xfId="329"/>
    <cellStyle name="Accent6 3" xfId="330"/>
    <cellStyle name="Accent6 4" xfId="331"/>
    <cellStyle name="Auto_OpenAuto_CloseExtractD" xfId="332"/>
    <cellStyle name="Bad" xfId="333" builtinId="27" customBuiltin="1"/>
    <cellStyle name="Bad 2" xfId="334"/>
    <cellStyle name="Bad 3" xfId="335"/>
    <cellStyle name="Bad 4" xfId="336"/>
    <cellStyle name="Body" xfId="337"/>
    <cellStyle name="Bold/Border" xfId="338"/>
    <cellStyle name="Brand Align Left Text" xfId="339"/>
    <cellStyle name="Brand Default" xfId="340"/>
    <cellStyle name="Brand Percent" xfId="341"/>
    <cellStyle name="Brand Source" xfId="342"/>
    <cellStyle name="Brand Subtitle with Underline" xfId="343"/>
    <cellStyle name="Brand Subtitle without Underline" xfId="344"/>
    <cellStyle name="Brand Title" xfId="345"/>
    <cellStyle name="Bullet" xfId="346"/>
    <cellStyle name="Calc Currency (0)" xfId="347"/>
    <cellStyle name="Calc Currency (0) 2" xfId="348"/>
    <cellStyle name="Calc Currency (0) 3" xfId="349"/>
    <cellStyle name="Calc Currency (0) 4" xfId="350"/>
    <cellStyle name="Calc Currency (0)_5.2" xfId="351"/>
    <cellStyle name="Calculation" xfId="352" builtinId="22" customBuiltin="1"/>
    <cellStyle name="Calculation 2" xfId="353"/>
    <cellStyle name="Calculation 3" xfId="354"/>
    <cellStyle name="Calculation 4" xfId="355"/>
    <cellStyle name="Check Cell" xfId="356" builtinId="23" customBuiltin="1"/>
    <cellStyle name="Check Cell 2" xfId="357"/>
    <cellStyle name="Check Cell 3" xfId="358"/>
    <cellStyle name="Check Cell 4" xfId="359"/>
    <cellStyle name="Comma" xfId="360" builtinId="3"/>
    <cellStyle name="Comma  - Style1" xfId="361"/>
    <cellStyle name="Comma  - Style2" xfId="362"/>
    <cellStyle name="Comma  - Style3" xfId="363"/>
    <cellStyle name="Comma  - Style4" xfId="364"/>
    <cellStyle name="Comma  - Style5" xfId="365"/>
    <cellStyle name="Comma  - Style6" xfId="366"/>
    <cellStyle name="Comma  - Style7" xfId="367"/>
    <cellStyle name="Comma  - Style8" xfId="368"/>
    <cellStyle name="Comma 10" xfId="369"/>
    <cellStyle name="Comma 10 2" xfId="370"/>
    <cellStyle name="Comma 10 3" xfId="371"/>
    <cellStyle name="Comma 10 4" xfId="372"/>
    <cellStyle name="Comma 11" xfId="373"/>
    <cellStyle name="Comma 11 2" xfId="374"/>
    <cellStyle name="Comma 11 3" xfId="375"/>
    <cellStyle name="Comma 11 4" xfId="376"/>
    <cellStyle name="Comma 12" xfId="377"/>
    <cellStyle name="Comma 13" xfId="378"/>
    <cellStyle name="Comma 14" xfId="379"/>
    <cellStyle name="Comma 15" xfId="380"/>
    <cellStyle name="Comma 16" xfId="381"/>
    <cellStyle name="Comma 16 2" xfId="779"/>
    <cellStyle name="Comma 17" xfId="770"/>
    <cellStyle name="Comma 17 2" xfId="784"/>
    <cellStyle name="Comma 18" xfId="773"/>
    <cellStyle name="Comma 18 2" xfId="786"/>
    <cellStyle name="Comma 19" xfId="775"/>
    <cellStyle name="Comma 19 2" xfId="788"/>
    <cellStyle name="Comma 2" xfId="382"/>
    <cellStyle name="Comma 2 10" xfId="383"/>
    <cellStyle name="Comma 2 11" xfId="384"/>
    <cellStyle name="Comma 2 2" xfId="385"/>
    <cellStyle name="Comma 2 2 2" xfId="386"/>
    <cellStyle name="Comma 2 2 2 2" xfId="387"/>
    <cellStyle name="Comma 2 2 2 3" xfId="388"/>
    <cellStyle name="Comma 2 2 2 4" xfId="389"/>
    <cellStyle name="Comma 2 2 3" xfId="390"/>
    <cellStyle name="Comma 2 2 3 2" xfId="391"/>
    <cellStyle name="Comma 2 2 3 3" xfId="392"/>
    <cellStyle name="Comma 2 2 3 4" xfId="393"/>
    <cellStyle name="Comma 2 2 4" xfId="394"/>
    <cellStyle name="Comma 2 2 5" xfId="395"/>
    <cellStyle name="Comma 2 2 6" xfId="396"/>
    <cellStyle name="Comma 2 3" xfId="397"/>
    <cellStyle name="Comma 2 3 2" xfId="398"/>
    <cellStyle name="Comma 2 3 3" xfId="399"/>
    <cellStyle name="Comma 2 3 4" xfId="400"/>
    <cellStyle name="Comma 2 4" xfId="401"/>
    <cellStyle name="Comma 2 4 2" xfId="402"/>
    <cellStyle name="Comma 2 4 3" xfId="403"/>
    <cellStyle name="Comma 2 4 4" xfId="404"/>
    <cellStyle name="Comma 2 5" xfId="405"/>
    <cellStyle name="Comma 2 5 2" xfId="406"/>
    <cellStyle name="Comma 2 5 3" xfId="407"/>
    <cellStyle name="Comma 2 5 4" xfId="408"/>
    <cellStyle name="Comma 2 6" xfId="409"/>
    <cellStyle name="Comma 2 6 2" xfId="410"/>
    <cellStyle name="Comma 2 6 3" xfId="411"/>
    <cellStyle name="Comma 2 6 4" xfId="412"/>
    <cellStyle name="Comma 2 7" xfId="413"/>
    <cellStyle name="Comma 2 7 2" xfId="414"/>
    <cellStyle name="Comma 2 7 3" xfId="415"/>
    <cellStyle name="Comma 2 7 4" xfId="416"/>
    <cellStyle name="Comma 2 8" xfId="417"/>
    <cellStyle name="Comma 2 8 2" xfId="418"/>
    <cellStyle name="Comma 2 8 3" xfId="419"/>
    <cellStyle name="Comma 2 8 4" xfId="420"/>
    <cellStyle name="Comma 2 9" xfId="421"/>
    <cellStyle name="Comma 2_Xl0000002" xfId="422"/>
    <cellStyle name="Comma 22" xfId="423"/>
    <cellStyle name="Comma 3" xfId="424"/>
    <cellStyle name="Comma 3 2" xfId="425"/>
    <cellStyle name="Comma 3 3" xfId="426"/>
    <cellStyle name="Comma 3 4" xfId="427"/>
    <cellStyle name="Comma 3 5" xfId="428"/>
    <cellStyle name="Comma 4" xfId="429"/>
    <cellStyle name="Comma 4 2" xfId="430"/>
    <cellStyle name="Comma 5" xfId="431"/>
    <cellStyle name="Comma 5 2" xfId="432"/>
    <cellStyle name="Comma 5 3" xfId="433"/>
    <cellStyle name="Comma 5 4" xfId="434"/>
    <cellStyle name="Comma 6" xfId="435"/>
    <cellStyle name="Comma 7" xfId="436"/>
    <cellStyle name="Comma 8" xfId="437"/>
    <cellStyle name="Comma 9" xfId="438"/>
    <cellStyle name="Comma 9 2" xfId="439"/>
    <cellStyle name="Comma 9 3" xfId="440"/>
    <cellStyle name="Comma 9 4" xfId="441"/>
    <cellStyle name="Comma_Final accou by farrukh PCMF" xfId="442"/>
    <cellStyle name="CompanyName" xfId="443"/>
    <cellStyle name="Component" xfId="444"/>
    <cellStyle name="Copied" xfId="445"/>
    <cellStyle name="Currency 2" xfId="446"/>
    <cellStyle name="Currency 2 2" xfId="447"/>
    <cellStyle name="Currency 2 3" xfId="448"/>
    <cellStyle name="Currency 2 4" xfId="449"/>
    <cellStyle name="Dash" xfId="450"/>
    <cellStyle name="Description" xfId="451"/>
    <cellStyle name="Dollar" xfId="452"/>
    <cellStyle name="Entered" xfId="453"/>
    <cellStyle name="Euro" xfId="454"/>
    <cellStyle name="Euro 2" xfId="455"/>
    <cellStyle name="Euro 3" xfId="456"/>
    <cellStyle name="Euro 4" xfId="457"/>
    <cellStyle name="Explanatory Text" xfId="458" builtinId="53" customBuiltin="1"/>
    <cellStyle name="Explanatory Text 2" xfId="459"/>
    <cellStyle name="Explanatory Text 3" xfId="460"/>
    <cellStyle name="Explanatory Text 4" xfId="461"/>
    <cellStyle name="Feature" xfId="462"/>
    <cellStyle name="Fixed" xfId="463"/>
    <cellStyle name="Fixed 2" xfId="464"/>
    <cellStyle name="Fixed 3" xfId="465"/>
    <cellStyle name="Fixed 4" xfId="466"/>
    <cellStyle name="Fixed_5.2" xfId="467"/>
    <cellStyle name="Good" xfId="468" builtinId="26" customBuiltin="1"/>
    <cellStyle name="Good 2" xfId="469"/>
    <cellStyle name="Good 3" xfId="470"/>
    <cellStyle name="Good 4" xfId="471"/>
    <cellStyle name="Grey" xfId="472"/>
    <cellStyle name="Header1" xfId="473"/>
    <cellStyle name="Header2" xfId="474"/>
    <cellStyle name="Heading 1" xfId="475" builtinId="16" customBuiltin="1"/>
    <cellStyle name="Heading 1 2" xfId="476"/>
    <cellStyle name="Heading 1 3" xfId="477"/>
    <cellStyle name="Heading 1 4" xfId="478"/>
    <cellStyle name="Heading 2" xfId="479" builtinId="17" customBuiltin="1"/>
    <cellStyle name="Heading 2 2" xfId="480"/>
    <cellStyle name="Heading 2 3" xfId="481"/>
    <cellStyle name="Heading 2 4" xfId="482"/>
    <cellStyle name="Heading 3" xfId="483" builtinId="18" customBuiltin="1"/>
    <cellStyle name="Heading 3 2" xfId="484"/>
    <cellStyle name="Heading 3 3" xfId="485"/>
    <cellStyle name="Heading 3 4" xfId="486"/>
    <cellStyle name="Heading 4" xfId="487" builtinId="19" customBuiltin="1"/>
    <cellStyle name="Heading 4 2" xfId="488"/>
    <cellStyle name="Heading 4 3" xfId="489"/>
    <cellStyle name="Heading 4 4" xfId="490"/>
    <cellStyle name="Input" xfId="491" builtinId="20" customBuiltin="1"/>
    <cellStyle name="Input [yellow]" xfId="492"/>
    <cellStyle name="Input 2" xfId="493"/>
    <cellStyle name="Input 3" xfId="494"/>
    <cellStyle name="Input 4" xfId="495"/>
    <cellStyle name="Instructions" xfId="496"/>
    <cellStyle name="Integer" xfId="497"/>
    <cellStyle name="Integer 2" xfId="498"/>
    <cellStyle name="Integer 3" xfId="499"/>
    <cellStyle name="Integer 4" xfId="500"/>
    <cellStyle name="Integer_5.2" xfId="501"/>
    <cellStyle name="Intial cap" xfId="502"/>
    <cellStyle name="Linked Cell" xfId="503" builtinId="24" customBuiltin="1"/>
    <cellStyle name="Linked Cell 2" xfId="504"/>
    <cellStyle name="Linked Cell 3" xfId="505"/>
    <cellStyle name="Linked Cell 4" xfId="506"/>
    <cellStyle name="Millares [0]_laroux" xfId="507"/>
    <cellStyle name="Millares_laroux" xfId="508"/>
    <cellStyle name="Milliers [0]_mk" xfId="509"/>
    <cellStyle name="Milliers_mk" xfId="510"/>
    <cellStyle name="Monétaire [0]_mk" xfId="511"/>
    <cellStyle name="Monétaire_mk" xfId="512"/>
    <cellStyle name="MOQ" xfId="513"/>
    <cellStyle name="Neutral" xfId="514" builtinId="28" customBuiltin="1"/>
    <cellStyle name="Neutral 2" xfId="515"/>
    <cellStyle name="Neutral 3" xfId="516"/>
    <cellStyle name="Neutral 4" xfId="517"/>
    <cellStyle name="New Markets operations Indicators" xfId="518"/>
    <cellStyle name="Normal" xfId="0" builtinId="0"/>
    <cellStyle name="Normal - Style1" xfId="519"/>
    <cellStyle name="Normal - Style1 2" xfId="520"/>
    <cellStyle name="Normal - Style1 3" xfId="521"/>
    <cellStyle name="Normal - Style1 4" xfId="522"/>
    <cellStyle name="Normal - Style1_5.2" xfId="523"/>
    <cellStyle name="Normal 10" xfId="524"/>
    <cellStyle name="Normal 11" xfId="525"/>
    <cellStyle name="Normal 12" xfId="526"/>
    <cellStyle name="Normal 13" xfId="527"/>
    <cellStyle name="Normal 14" xfId="528"/>
    <cellStyle name="Normal 15" xfId="529"/>
    <cellStyle name="Normal 16" xfId="530"/>
    <cellStyle name="Normal 16 2" xfId="780"/>
    <cellStyle name="Normal 17" xfId="768"/>
    <cellStyle name="Normal 17 2" xfId="782"/>
    <cellStyle name="Normal 18" xfId="769"/>
    <cellStyle name="Normal 18 2" xfId="783"/>
    <cellStyle name="Normal 19" xfId="774"/>
    <cellStyle name="Normal 19 2" xfId="787"/>
    <cellStyle name="Normal 2" xfId="531"/>
    <cellStyle name="Normal 2 10" xfId="532"/>
    <cellStyle name="Normal 2 11" xfId="533"/>
    <cellStyle name="Normal 2 12" xfId="534"/>
    <cellStyle name="Normal 2 2" xfId="535"/>
    <cellStyle name="Normal 2 2 10" xfId="536"/>
    <cellStyle name="Normal 2 2 2" xfId="537"/>
    <cellStyle name="Normal 2 2 2 2" xfId="538"/>
    <cellStyle name="Normal 2 2 2 3" xfId="539"/>
    <cellStyle name="Normal 2 2 2 4" xfId="540"/>
    <cellStyle name="Normal 2 2 2_5.2" xfId="541"/>
    <cellStyle name="Normal 2 2 3" xfId="542"/>
    <cellStyle name="Normal 2 2 3 2" xfId="543"/>
    <cellStyle name="Normal 2 2 3 3" xfId="544"/>
    <cellStyle name="Normal 2 2 3 4" xfId="545"/>
    <cellStyle name="Normal 2 2 3_5.2" xfId="546"/>
    <cellStyle name="Normal 2 2 4" xfId="547"/>
    <cellStyle name="Normal 2 2 5" xfId="548"/>
    <cellStyle name="Normal 2 2 6" xfId="549"/>
    <cellStyle name="Normal 2 2 7" xfId="550"/>
    <cellStyle name="Normal 2 2 8" xfId="551"/>
    <cellStyle name="Normal 2 2 9" xfId="552"/>
    <cellStyle name="Normal 2 2_5.2" xfId="553"/>
    <cellStyle name="Normal 2 3" xfId="554"/>
    <cellStyle name="Normal 2 3 2" xfId="555"/>
    <cellStyle name="Normal 2 3 3" xfId="556"/>
    <cellStyle name="Normal 2 3 4" xfId="557"/>
    <cellStyle name="Normal 2 3_5.2" xfId="558"/>
    <cellStyle name="Normal 2 4" xfId="559"/>
    <cellStyle name="Normal 2 4 2" xfId="560"/>
    <cellStyle name="Normal 2 4 3" xfId="561"/>
    <cellStyle name="Normal 2 4 4" xfId="562"/>
    <cellStyle name="Normal 2 4_5.2" xfId="563"/>
    <cellStyle name="Normal 2 5" xfId="564"/>
    <cellStyle name="Normal 2 5 2" xfId="565"/>
    <cellStyle name="Normal 2 5 3" xfId="566"/>
    <cellStyle name="Normal 2 5 4" xfId="567"/>
    <cellStyle name="Normal 2 5_5.2" xfId="568"/>
    <cellStyle name="Normal 2 6" xfId="569"/>
    <cellStyle name="Normal 2 6 2" xfId="570"/>
    <cellStyle name="Normal 2 6 3" xfId="571"/>
    <cellStyle name="Normal 2 6 4" xfId="572"/>
    <cellStyle name="Normal 2 6_5.2" xfId="573"/>
    <cellStyle name="Normal 2 7" xfId="574"/>
    <cellStyle name="Normal 2 8" xfId="575"/>
    <cellStyle name="Normal 2 9" xfId="576"/>
    <cellStyle name="Normal 2_3_After_SW_changes_PIF_accounts_2008" xfId="577"/>
    <cellStyle name="Normal 20" xfId="777"/>
    <cellStyle name="Normal 21" xfId="778"/>
    <cellStyle name="Normal 3" xfId="578"/>
    <cellStyle name="Normal 3 2" xfId="579"/>
    <cellStyle name="Normal 3 2 2" xfId="580"/>
    <cellStyle name="Normal 3 2 3" xfId="581"/>
    <cellStyle name="Normal 3 2 4" xfId="582"/>
    <cellStyle name="Normal 3 2_5.2" xfId="583"/>
    <cellStyle name="Normal 3_31 Dec Accounts 2009-NIUT" xfId="584"/>
    <cellStyle name="Normal 4" xfId="585"/>
    <cellStyle name="Normal 4 2" xfId="586"/>
    <cellStyle name="Normal 4 2 2" xfId="587"/>
    <cellStyle name="Normal 4 2 3" xfId="588"/>
    <cellStyle name="Normal 4 2 4" xfId="589"/>
    <cellStyle name="Normal 4 2_5.2" xfId="590"/>
    <cellStyle name="Normal 4 3" xfId="591"/>
    <cellStyle name="Normal 4 4" xfId="592"/>
    <cellStyle name="Normal 4 5" xfId="593"/>
    <cellStyle name="Normal 4_5.2" xfId="594"/>
    <cellStyle name="Normal 5" xfId="595"/>
    <cellStyle name="Normal 5 10" xfId="596"/>
    <cellStyle name="Normal 5 2" xfId="597"/>
    <cellStyle name="Normal 5 2 2" xfId="598"/>
    <cellStyle name="Normal 5 2 3" xfId="599"/>
    <cellStyle name="Normal 5 2 4" xfId="600"/>
    <cellStyle name="Normal 5 2_5.2" xfId="601"/>
    <cellStyle name="Normal 5 3" xfId="602"/>
    <cellStyle name="Normal 5 4" xfId="603"/>
    <cellStyle name="Normal 5 5" xfId="604"/>
    <cellStyle name="Normal 5 6" xfId="605"/>
    <cellStyle name="Normal 5 7" xfId="606"/>
    <cellStyle name="Normal 5 8" xfId="607"/>
    <cellStyle name="Normal 5 9" xfId="608"/>
    <cellStyle name="Normal 5_31 Dec Accounts 2009-NIUT" xfId="609"/>
    <cellStyle name="Normal 6" xfId="610"/>
    <cellStyle name="Normal 6 2" xfId="611"/>
    <cellStyle name="Normal 6 3" xfId="612"/>
    <cellStyle name="Normal 6 4" xfId="613"/>
    <cellStyle name="Normal 6_5.2" xfId="614"/>
    <cellStyle name="Normal 7" xfId="615"/>
    <cellStyle name="Normal 7 2" xfId="616"/>
    <cellStyle name="Normal 7 3" xfId="617"/>
    <cellStyle name="Normal 7 4" xfId="618"/>
    <cellStyle name="Normal 7_5.2" xfId="619"/>
    <cellStyle name="Normal 8" xfId="620"/>
    <cellStyle name="Normal 8 2" xfId="621"/>
    <cellStyle name="Normal 8 3" xfId="622"/>
    <cellStyle name="Normal 8 4" xfId="623"/>
    <cellStyle name="Normal 8_5.2" xfId="624"/>
    <cellStyle name="Normal 9" xfId="625"/>
    <cellStyle name="Normal_5-1-2010-NIT-EMOF DEC Accounts 2009(F)" xfId="626"/>
    <cellStyle name="Normal_ACCOUNTS MSF 12 - PSM changes" xfId="772"/>
    <cellStyle name="Normal_Balanca sheet analysis 01" xfId="627"/>
    <cellStyle name="Normal_Balanca sheet analysis 01_Accounts 2009-NIUT NON LOC-after RAJ final-signed 2" xfId="628"/>
    <cellStyle name="Normal_disclosure investment emof" xfId="629"/>
    <cellStyle name="Normal_disclosure investment emof 2" xfId="630"/>
    <cellStyle name="Normal_Final accou by farrukh PCMF" xfId="631"/>
    <cellStyle name="Normal_Final accou by farrukh PCMF_Accounts 2009-NIUT NON LOC-after RAJ final-signed" xfId="632"/>
    <cellStyle name="Normal_NIT-EMOF DEC Accounts 2009(8-1-2010)" xfId="633"/>
    <cellStyle name="Normal_NIT-EMOF SEP Accounts 2009" xfId="634"/>
    <cellStyle name="Normal_PIF may account 3rd draft" xfId="635"/>
    <cellStyle name="Normal_Portfolio 2" xfId="636"/>
    <cellStyle name="Normal_Portfolio_NIT-EMOF SEP Accounts 2009" xfId="637"/>
    <cellStyle name="Normal_PSM DEC 2003(Final by Auditors)" xfId="638"/>
    <cellStyle name="Normal_Worksheet in   PGF 2005 final" xfId="639"/>
    <cellStyle name="Normal_Worksheet in   PGF 2005 final 2" xfId="640"/>
    <cellStyle name="Normal_Worksheet in   PGF 2005 final_Accounts 2009-NIUT NON LOC-after RAJ final-signed" xfId="641"/>
    <cellStyle name="Normal_Worksheet in   PGF 2005 final_Accounts 2009-NIUT NON LOC-after RAJ final-signed 2" xfId="642"/>
    <cellStyle name="Note" xfId="643" builtinId="10" customBuiltin="1"/>
    <cellStyle name="Note 2" xfId="644"/>
    <cellStyle name="Note 2 2" xfId="645"/>
    <cellStyle name="Note 2 3" xfId="646"/>
    <cellStyle name="Note 2 4" xfId="647"/>
    <cellStyle name="Note 3" xfId="648"/>
    <cellStyle name="Note 3 2" xfId="649"/>
    <cellStyle name="Note 3 3" xfId="650"/>
    <cellStyle name="Note 3 4" xfId="651"/>
    <cellStyle name="Note 4" xfId="652"/>
    <cellStyle name="Note 5" xfId="653"/>
    <cellStyle name="Note 6" xfId="654"/>
    <cellStyle name="Option" xfId="655"/>
    <cellStyle name="Output" xfId="656" builtinId="21" customBuiltin="1"/>
    <cellStyle name="Output 2" xfId="657"/>
    <cellStyle name="Output 3" xfId="658"/>
    <cellStyle name="Output 4" xfId="659"/>
    <cellStyle name="OUTPUT AMOUNTS" xfId="660"/>
    <cellStyle name="Output Amounts 2" xfId="661"/>
    <cellStyle name="Output Amounts_DOM Balanced 24 Jan 2008" xfId="662"/>
    <cellStyle name="OUTPUT COLUMN HEADINGS" xfId="663"/>
    <cellStyle name="Output Column Headings 2" xfId="664"/>
    <cellStyle name="Output Column Headings_KP_-_ANNUAL_ACCOUNTS EPZ" xfId="665"/>
    <cellStyle name="OUTPUT LINE ITEMS" xfId="666"/>
    <cellStyle name="Output Line Items 2" xfId="667"/>
    <cellStyle name="Output Line Items_DOM Balanced 24 Jan 2008" xfId="668"/>
    <cellStyle name="OUTPUT REPORT HEADING" xfId="669"/>
    <cellStyle name="Output Report Heading 2" xfId="670"/>
    <cellStyle name="Output Report Heading_KP_-_ANNUAL_ACCOUNTS EPZ" xfId="671"/>
    <cellStyle name="OUTPUT REPORT TITLE" xfId="672"/>
    <cellStyle name="Output Report Title 2" xfId="673"/>
    <cellStyle name="Output Report Title_KP_-_ANNUAL_ACCOUNTS EPZ" xfId="674"/>
    <cellStyle name="Percent" xfId="675" builtinId="5"/>
    <cellStyle name="Percent [2]" xfId="676"/>
    <cellStyle name="Percent [2] 2" xfId="677"/>
    <cellStyle name="Percent [2] 3" xfId="678"/>
    <cellStyle name="Percent [2] 4" xfId="679"/>
    <cellStyle name="Percent 2" xfId="680"/>
    <cellStyle name="Percent 2 10" xfId="681"/>
    <cellStyle name="Percent 2 2" xfId="682"/>
    <cellStyle name="Percent 2 2 2" xfId="683"/>
    <cellStyle name="Percent 2 2 2 2" xfId="684"/>
    <cellStyle name="Percent 2 2 2 3" xfId="685"/>
    <cellStyle name="Percent 2 2 2 4" xfId="686"/>
    <cellStyle name="Percent 2 2 3" xfId="687"/>
    <cellStyle name="Percent 2 2 3 2" xfId="688"/>
    <cellStyle name="Percent 2 2 3 3" xfId="689"/>
    <cellStyle name="Percent 2 2 3 4" xfId="690"/>
    <cellStyle name="Percent 2 2 4" xfId="691"/>
    <cellStyle name="Percent 2 2 5" xfId="692"/>
    <cellStyle name="Percent 2 2 6" xfId="693"/>
    <cellStyle name="Percent 2 3" xfId="694"/>
    <cellStyle name="Percent 2 3 2" xfId="695"/>
    <cellStyle name="Percent 2 3 3" xfId="696"/>
    <cellStyle name="Percent 2 3 4" xfId="697"/>
    <cellStyle name="Percent 2 4" xfId="698"/>
    <cellStyle name="Percent 2 4 2" xfId="699"/>
    <cellStyle name="Percent 2 4 3" xfId="700"/>
    <cellStyle name="Percent 2 4 4" xfId="701"/>
    <cellStyle name="Percent 2 5" xfId="702"/>
    <cellStyle name="Percent 2 5 2" xfId="703"/>
    <cellStyle name="Percent 2 5 3" xfId="704"/>
    <cellStyle name="Percent 2 5 4" xfId="705"/>
    <cellStyle name="Percent 2 6" xfId="706"/>
    <cellStyle name="Percent 2 6 2" xfId="707"/>
    <cellStyle name="Percent 2 6 3" xfId="708"/>
    <cellStyle name="Percent 2 6 4" xfId="709"/>
    <cellStyle name="Percent 2 7" xfId="710"/>
    <cellStyle name="Percent 2 7 2" xfId="711"/>
    <cellStyle name="Percent 2 7 3" xfId="712"/>
    <cellStyle name="Percent 2 7 4" xfId="713"/>
    <cellStyle name="Percent 2 8" xfId="714"/>
    <cellStyle name="Percent 2 9" xfId="715"/>
    <cellStyle name="Percent 3" xfId="716"/>
    <cellStyle name="Percent 3 2" xfId="717"/>
    <cellStyle name="Percent 3 3" xfId="718"/>
    <cellStyle name="Percent 3 4" xfId="719"/>
    <cellStyle name="Percent 4" xfId="720"/>
    <cellStyle name="Percent 4 2" xfId="721"/>
    <cellStyle name="Percent 4 3" xfId="722"/>
    <cellStyle name="Percent 4 4" xfId="723"/>
    <cellStyle name="Percent 5" xfId="724"/>
    <cellStyle name="Percent 5 2" xfId="725"/>
    <cellStyle name="Percent 5 3" xfId="726"/>
    <cellStyle name="Percent 5 4" xfId="727"/>
    <cellStyle name="Percent 6" xfId="728"/>
    <cellStyle name="Percent 7" xfId="729"/>
    <cellStyle name="Percent 7 2" xfId="781"/>
    <cellStyle name="Percent 8" xfId="771"/>
    <cellStyle name="Percent 8 2" xfId="785"/>
    <cellStyle name="Percent 9" xfId="776"/>
    <cellStyle name="Percent 9 2" xfId="789"/>
    <cellStyle name="Pivot Style Medium 13" xfId="730"/>
    <cellStyle name="Pivot Style Medium 13 2" xfId="731"/>
    <cellStyle name="Pivot Style Medium 13 3" xfId="732"/>
    <cellStyle name="Pivot Style Medium 13 4" xfId="733"/>
    <cellStyle name="PSChar" xfId="734"/>
    <cellStyle name="RevList" xfId="735"/>
    <cellStyle name="ri_Category 30-06-07_4" xfId="736"/>
    <cellStyle name="SAPBEXstdItem" xfId="737"/>
    <cellStyle name="Style 1" xfId="738"/>
    <cellStyle name="Style 1 2" xfId="739"/>
    <cellStyle name="Style 1 3" xfId="740"/>
    <cellStyle name="Style 1 4" xfId="741"/>
    <cellStyle name="Style 1_5.2" xfId="742"/>
    <cellStyle name="Sub-group Hdg" xfId="743"/>
    <cellStyle name="Sub-heading" xfId="744"/>
    <cellStyle name="Subtotal" xfId="745"/>
    <cellStyle name="Title" xfId="746" builtinId="15" customBuiltin="1"/>
    <cellStyle name="Title 2" xfId="747"/>
    <cellStyle name="Title 3" xfId="748"/>
    <cellStyle name="Title 4" xfId="749"/>
    <cellStyle name="Total" xfId="750" builtinId="25" customBuiltin="1"/>
    <cellStyle name="Total 2" xfId="751"/>
    <cellStyle name="Total 3" xfId="752"/>
    <cellStyle name="Total 4" xfId="753"/>
    <cellStyle name="Tusental (0)_pldt" xfId="754"/>
    <cellStyle name="Tusental_pldt" xfId="755"/>
    <cellStyle name="Value" xfId="756"/>
    <cellStyle name="Valuta (0)_pldt" xfId="757"/>
    <cellStyle name="Valuta_pldt" xfId="758"/>
    <cellStyle name="Warning Text" xfId="759" builtinId="11" customBuiltin="1"/>
    <cellStyle name="Warning Text 2" xfId="760"/>
    <cellStyle name="Warning Text 3" xfId="761"/>
    <cellStyle name="Warning Text 4" xfId="762"/>
    <cellStyle name="桁区切り [0.00]_RESULTS" xfId="763"/>
    <cellStyle name="桁区切り_RESULTS" xfId="764"/>
    <cellStyle name="標準_RESULTS" xfId="765"/>
    <cellStyle name="通貨 [0.00]_RESULTS" xfId="766"/>
    <cellStyle name="通貨_RESULTS" xfId="767"/>
  </cellStyles>
  <dxfs count="4">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 Id="rId63" Type="http://schemas.openxmlformats.org/officeDocument/2006/relationships/externalLink" Target="externalLinks/externalLink39.xml"/><Relationship Id="rId68" Type="http://schemas.openxmlformats.org/officeDocument/2006/relationships/externalLink" Target="externalLinks/externalLink44.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4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externalLink" Target="externalLinks/externalLink42.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 Id="rId61" Type="http://schemas.openxmlformats.org/officeDocument/2006/relationships/externalLink" Target="externalLinks/externalLink3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externalLink" Target="externalLinks/externalLink41.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externalLink" Target="externalLinks/externalLink45.xml"/><Relationship Id="rId8" Type="http://schemas.openxmlformats.org/officeDocument/2006/relationships/worksheet" Target="worksheets/sheet8.xml"/><Relationship Id="rId51" Type="http://schemas.openxmlformats.org/officeDocument/2006/relationships/externalLink" Target="externalLinks/externalLink27.xml"/><Relationship Id="rId72" Type="http://schemas.openxmlformats.org/officeDocument/2006/relationships/externalLink" Target="externalLinks/externalLink4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externalLink" Target="externalLinks/externalLink43.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externalLink" Target="externalLinks/externalLink46.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257175</xdr:colOff>
      <xdr:row>38</xdr:row>
      <xdr:rowOff>95250</xdr:rowOff>
    </xdr:to>
    <xdr:sp macro="" textlink="">
      <xdr:nvSpPr>
        <xdr:cNvPr id="2" name="AutoShape 1"/>
        <xdr:cNvSpPr>
          <a:spLocks noChangeArrowheads="1"/>
        </xdr:cNvSpPr>
      </xdr:nvSpPr>
      <xdr:spPr bwMode="auto">
        <a:xfrm>
          <a:off x="428625" y="2076450"/>
          <a:ext cx="6000750" cy="4448175"/>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 Equity Market Opportunity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quarter ended</a:t>
          </a:r>
        </a:p>
        <a:p>
          <a:pPr algn="ctr" rtl="0">
            <a:defRPr sz="1000"/>
          </a:pPr>
          <a:r>
            <a:rPr lang="en-US" sz="3200" b="0" i="0" strike="noStrike">
              <a:solidFill>
                <a:srgbClr val="000000"/>
              </a:solidFill>
              <a:latin typeface="ChevaraOutline"/>
            </a:rPr>
            <a:t>30</a:t>
          </a:r>
          <a:r>
            <a:rPr lang="en-US" sz="3200" b="0" i="0" strike="noStrike" baseline="0">
              <a:solidFill>
                <a:srgbClr val="000000"/>
              </a:solidFill>
              <a:latin typeface="ChevaraOutline"/>
            </a:rPr>
            <a:t> September</a:t>
          </a:r>
          <a:r>
            <a:rPr lang="en-US" sz="3200" b="0" i="0" strike="noStrike">
              <a:solidFill>
                <a:srgbClr val="000000"/>
              </a:solidFill>
              <a:latin typeface="ChevaraOutline"/>
            </a:rPr>
            <a:t> 2015</a:t>
          </a:r>
        </a:p>
        <a:p>
          <a:pPr algn="ctr" rtl="0">
            <a:defRPr sz="1000"/>
          </a:pPr>
          <a:endParaRPr lang="en-US" sz="32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4575" y="352425"/>
          <a:ext cx="15621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84</xdr:row>
      <xdr:rowOff>142875</xdr:rowOff>
    </xdr:from>
    <xdr:to>
      <xdr:col>10</xdr:col>
      <xdr:colOff>0</xdr:colOff>
      <xdr:row>84</xdr:row>
      <xdr:rowOff>142875</xdr:rowOff>
    </xdr:to>
    <xdr:sp macro="" textlink="">
      <xdr:nvSpPr>
        <xdr:cNvPr id="2" name="Text 28"/>
        <xdr:cNvSpPr txBox="1">
          <a:spLocks noChangeArrowheads="1"/>
        </xdr:cNvSpPr>
      </xdr:nvSpPr>
      <xdr:spPr bwMode="auto">
        <a:xfrm>
          <a:off x="390525" y="8372475"/>
          <a:ext cx="8458200"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66675</xdr:colOff>
      <xdr:row>13</xdr:row>
      <xdr:rowOff>149578</xdr:rowOff>
    </xdr:from>
    <xdr:to>
      <xdr:col>8</xdr:col>
      <xdr:colOff>333375</xdr:colOff>
      <xdr:row>13</xdr:row>
      <xdr:rowOff>149578</xdr:rowOff>
    </xdr:to>
    <xdr:sp macro="" textlink="">
      <xdr:nvSpPr>
        <xdr:cNvPr id="2088" name="Text Box 40"/>
        <xdr:cNvSpPr txBox="1">
          <a:spLocks noChangeAspect="1" noChangeArrowheads="1"/>
        </xdr:cNvSpPr>
      </xdr:nvSpPr>
      <xdr:spPr bwMode="auto">
        <a:xfrm>
          <a:off x="4733925" y="20688300"/>
          <a:ext cx="1209675" cy="0"/>
        </a:xfrm>
        <a:prstGeom prst="rect">
          <a:avLst/>
        </a:prstGeom>
        <a:solidFill>
          <a:srgbClr val="FFFFFF"/>
        </a:solidFill>
        <a:ln w="9525">
          <a:noFill/>
          <a:miter lim="800000"/>
          <a:headEnd/>
          <a:tailEnd/>
        </a:ln>
        <a:effectLst/>
      </xdr:spPr>
      <xdr:txBody>
        <a:bodyPr vertOverflow="clip" wrap="square" lIns="36576" tIns="27432" rIns="36576" bIns="0" anchor="t" upright="1"/>
        <a:lstStyle/>
        <a:p>
          <a:pPr algn="ctr" rtl="0">
            <a:defRPr sz="1000"/>
          </a:pPr>
          <a:r>
            <a:rPr lang="en-US" sz="1200" b="1" i="0" strike="noStrike">
              <a:solidFill>
                <a:srgbClr val="000000"/>
              </a:solidFill>
              <a:latin typeface="Times New Roman"/>
              <a:cs typeface="Times New Roman"/>
            </a:rPr>
            <a:t>Director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66675</xdr:colOff>
      <xdr:row>26</xdr:row>
      <xdr:rowOff>149578</xdr:rowOff>
    </xdr:from>
    <xdr:to>
      <xdr:col>8</xdr:col>
      <xdr:colOff>333375</xdr:colOff>
      <xdr:row>26</xdr:row>
      <xdr:rowOff>149578</xdr:rowOff>
    </xdr:to>
    <xdr:sp macro="" textlink="">
      <xdr:nvSpPr>
        <xdr:cNvPr id="2088" name="Text Box 40"/>
        <xdr:cNvSpPr txBox="1">
          <a:spLocks noChangeAspect="1" noChangeArrowheads="1"/>
        </xdr:cNvSpPr>
      </xdr:nvSpPr>
      <xdr:spPr bwMode="auto">
        <a:xfrm>
          <a:off x="4733925" y="20688300"/>
          <a:ext cx="1209675" cy="0"/>
        </a:xfrm>
        <a:prstGeom prst="rect">
          <a:avLst/>
        </a:prstGeom>
        <a:solidFill>
          <a:srgbClr val="FFFFFF"/>
        </a:solidFill>
        <a:ln w="9525">
          <a:noFill/>
          <a:miter lim="800000"/>
          <a:headEnd/>
          <a:tailEnd/>
        </a:ln>
        <a:effectLst/>
      </xdr:spPr>
      <xdr:txBody>
        <a:bodyPr vertOverflow="clip" wrap="square" lIns="36576" tIns="27432" rIns="36576" bIns="0" anchor="t" upright="1"/>
        <a:lstStyle/>
        <a:p>
          <a:pPr algn="ctr" rtl="0">
            <a:defRPr sz="1000"/>
          </a:pPr>
          <a:r>
            <a:rPr lang="en-US" sz="1200" b="1" i="0" strike="noStrike">
              <a:solidFill>
                <a:srgbClr val="000000"/>
              </a:solidFill>
              <a:latin typeface="Times New Roman"/>
              <a:cs typeface="Times New Roman"/>
            </a:rPr>
            <a:t>Director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LOCALS~1/Temp/notesE8DBF2/NIT%20emof/5-1-2010-NIT-EMOF%20DEC%20Accounts%202009(F).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LOCALS~1/Temp/notesE8DBF2/NIT%20emof/NIT-EMOF%20DEC%20Accounts%202009(8-1-20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LOCALS~1/Temp/notesE8DBF2/NIT%20emof/EMOF%20PORTFOLIO%20DECEMBER%2031,%20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ow r="132">
          <cell r="C132" t="str">
            <v>TOTAL RECOVERY OF STUCK-UP ADVANCES REPORT</v>
          </cell>
        </row>
      </sheetData>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2)"/>
      <sheetName val="Movement  (2)"/>
      <sheetName val="Statement of FP"/>
      <sheetName val="Income Statement"/>
      <sheetName val="Statement of CI"/>
      <sheetName val="Distribution "/>
      <sheetName val="Movement "/>
      <sheetName val="Cash Flow"/>
      <sheetName val="CASH FLOW WORKIN"/>
      <sheetName val="Notes"/>
      <sheetName val="Note2"/>
      <sheetName val="Note3"/>
      <sheetName val="Cash flow working"/>
      <sheetName val="Trial balance"/>
      <sheetName val="NAV"/>
      <sheetName val="PL"/>
      <sheetName val="Sheet3"/>
      <sheetName val="Adjustment"/>
      <sheetName val="Distribution Working"/>
      <sheetName val="TB"/>
      <sheetName val="Set-Up"/>
      <sheetName val="maturities &amp; yield risk portion"/>
      <sheetName val="preliminary exp maturity"/>
      <sheetName val="inv disclosure client"/>
      <sheetName val="inv disclosure cost"/>
      <sheetName val="Note 5 cost"/>
      <sheetName val="preliminary exp maturity (2)"/>
    </sheetNames>
    <sheetDataSet>
      <sheetData sheetId="0" refreshError="1"/>
      <sheetData sheetId="1" refreshError="1"/>
      <sheetData sheetId="2" refreshError="1"/>
      <sheetData sheetId="3" refreshError="1"/>
      <sheetData sheetId="4" refreshError="1"/>
      <sheetData sheetId="5" refreshError="1">
        <row r="1">
          <cell r="A1" t="str">
            <v>NIT - EQUITY MARKET OPPORTUNITY  FUND</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heetName val="Statement of FP"/>
      <sheetName val="Income Statement"/>
      <sheetName val="Statement of CI"/>
      <sheetName val="Distribution "/>
      <sheetName val="Cash Flow"/>
      <sheetName val="CASH FLOW WORKIN"/>
      <sheetName val="Notes"/>
      <sheetName val="Note2"/>
      <sheetName val="Note3"/>
      <sheetName val="Cash flow working"/>
      <sheetName val="Trial balance"/>
      <sheetName val="NAV"/>
      <sheetName val="PL"/>
      <sheetName val="Sheet3"/>
      <sheetName val="Adjustment"/>
      <sheetName val="Distribution Working"/>
      <sheetName val="TB"/>
      <sheetName val="Set-Up"/>
      <sheetName val="maturities &amp; yield risk portion"/>
      <sheetName val="preliminary exp maturity"/>
      <sheetName val="inv disclosure client"/>
      <sheetName val="inv disclosure cost"/>
      <sheetName val="Note 5 cost"/>
      <sheetName val="preliminary exp maturity (2)"/>
    </sheetNames>
    <sheetDataSet>
      <sheetData sheetId="0" refreshError="1"/>
      <sheetData sheetId="1" refreshError="1">
        <row r="1">
          <cell r="A1" t="str">
            <v>NIT - EQUITY MARKET OPPORTUNITY  FUND</v>
          </cell>
        </row>
        <row r="11">
          <cell r="L11">
            <v>18201.971000000001</v>
          </cell>
        </row>
      </sheetData>
      <sheetData sheetId="2" refreshError="1">
        <row r="10">
          <cell r="A10" t="str">
            <v>Dividend income</v>
          </cell>
          <cell r="H10">
            <v>107661.06460000004</v>
          </cell>
        </row>
        <row r="12">
          <cell r="H12">
            <v>33469.508000000002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6">
          <cell r="F16">
            <v>16610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SUMM"/>
    </sheetNames>
    <sheetDataSet>
      <sheetData sheetId="0">
        <row r="12">
          <cell r="C12" t="str">
            <v>ALLIED BANK LIMITED</v>
          </cell>
          <cell r="D12" t="str">
            <v>COMMERCIAL BANKS</v>
          </cell>
          <cell r="F12">
            <v>42903</v>
          </cell>
          <cell r="G12">
            <v>42903</v>
          </cell>
          <cell r="H12">
            <v>0</v>
          </cell>
          <cell r="I12">
            <v>30.569820292287254</v>
          </cell>
          <cell r="J12">
            <v>0</v>
          </cell>
          <cell r="K12">
            <v>58.73</v>
          </cell>
          <cell r="L12">
            <v>0</v>
          </cell>
          <cell r="M12">
            <v>0</v>
          </cell>
          <cell r="N12">
            <v>0</v>
          </cell>
        </row>
        <row r="13">
          <cell r="C13" t="str">
            <v>ASKARI COMMERCIAL BANK</v>
          </cell>
          <cell r="D13" t="str">
            <v>COMMERCIAL BANKS</v>
          </cell>
          <cell r="F13">
            <v>366405</v>
          </cell>
          <cell r="H13">
            <v>366405</v>
          </cell>
          <cell r="I13">
            <v>12.999001105334262</v>
          </cell>
          <cell r="J13">
            <v>4762899</v>
          </cell>
          <cell r="K13">
            <v>27.3</v>
          </cell>
          <cell r="L13">
            <v>10002856.5</v>
          </cell>
          <cell r="M13">
            <v>5239957.5</v>
          </cell>
          <cell r="N13">
            <v>0.17507238369019235</v>
          </cell>
        </row>
        <row r="14">
          <cell r="C14" t="str">
            <v>BANK ALFALAH LIMITED</v>
          </cell>
          <cell r="D14" t="str">
            <v>COMMERCIAL BANKS</v>
          </cell>
          <cell r="F14">
            <v>4620970</v>
          </cell>
          <cell r="H14">
            <v>4620970</v>
          </cell>
          <cell r="I14">
            <v>21.187651293992388</v>
          </cell>
          <cell r="J14">
            <v>97907501</v>
          </cell>
          <cell r="K14">
            <v>13.77</v>
          </cell>
          <cell r="L14">
            <v>63630756.899999999</v>
          </cell>
          <cell r="M14">
            <v>-34276744.100000001</v>
          </cell>
          <cell r="N14">
            <v>1.1136807057558162</v>
          </cell>
        </row>
        <row r="15">
          <cell r="C15" t="str">
            <v>BANK AL HABIB</v>
          </cell>
          <cell r="D15" t="str">
            <v>COMMERCIAL BANKS</v>
          </cell>
          <cell r="F15">
            <v>26620</v>
          </cell>
          <cell r="H15">
            <v>26620</v>
          </cell>
          <cell r="I15">
            <v>19.092261457550713</v>
          </cell>
          <cell r="J15">
            <v>508235.99999999994</v>
          </cell>
          <cell r="K15">
            <v>32.76</v>
          </cell>
          <cell r="L15">
            <v>872071.2</v>
          </cell>
          <cell r="M15">
            <v>363835.2</v>
          </cell>
          <cell r="N15">
            <v>1.5263198440522112E-2</v>
          </cell>
        </row>
        <row r="16">
          <cell r="C16" t="str">
            <v>BANK OF PUNJAB</v>
          </cell>
          <cell r="D16" t="str">
            <v>COMMERCIAL BANKS</v>
          </cell>
          <cell r="F16">
            <v>496280</v>
          </cell>
          <cell r="H16">
            <v>496280</v>
          </cell>
          <cell r="I16">
            <v>15.050004029983073</v>
          </cell>
          <cell r="J16">
            <v>7469016</v>
          </cell>
          <cell r="K16">
            <v>19.5</v>
          </cell>
          <cell r="L16">
            <v>9677460</v>
          </cell>
          <cell r="M16">
            <v>2208444</v>
          </cell>
          <cell r="N16">
            <v>0.16937721642477716</v>
          </cell>
        </row>
        <row r="17">
          <cell r="C17" t="str">
            <v>FAYSAL BANK LIMITED</v>
          </cell>
          <cell r="D17" t="str">
            <v>COMMERCIAL BANKS</v>
          </cell>
          <cell r="F17">
            <v>148980</v>
          </cell>
          <cell r="H17">
            <v>148980</v>
          </cell>
          <cell r="I17">
            <v>21.308517921868706</v>
          </cell>
          <cell r="J17">
            <v>3174543</v>
          </cell>
          <cell r="K17">
            <v>17.53</v>
          </cell>
          <cell r="L17">
            <v>2611619.4000000004</v>
          </cell>
          <cell r="M17">
            <v>-562923.59999999963</v>
          </cell>
          <cell r="N17">
            <v>4.5709186535821046E-2</v>
          </cell>
        </row>
        <row r="18">
          <cell r="C18" t="str">
            <v>HABIB BANK LTD</v>
          </cell>
          <cell r="D18" t="str">
            <v>COMMERCIAL BANKS</v>
          </cell>
          <cell r="F18">
            <v>1210263</v>
          </cell>
          <cell r="G18">
            <v>250000</v>
          </cell>
          <cell r="H18">
            <v>960263</v>
          </cell>
          <cell r="I18">
            <v>132.6158785321868</v>
          </cell>
          <cell r="J18">
            <v>127346121.3669533</v>
          </cell>
          <cell r="K18">
            <v>123.44</v>
          </cell>
          <cell r="L18">
            <v>118534864.72</v>
          </cell>
          <cell r="M18">
            <v>-8811256.6469532996</v>
          </cell>
          <cell r="N18">
            <v>2.0746255149141533</v>
          </cell>
        </row>
        <row r="19">
          <cell r="C19" t="str">
            <v>MCB BANK</v>
          </cell>
          <cell r="D19" t="str">
            <v>COMMERCIAL BANKS</v>
          </cell>
          <cell r="F19">
            <v>1342775</v>
          </cell>
          <cell r="G19">
            <v>750000</v>
          </cell>
          <cell r="H19">
            <v>592775</v>
          </cell>
          <cell r="I19">
            <v>197.79600975591592</v>
          </cell>
          <cell r="J19">
            <v>117248529.68306306</v>
          </cell>
          <cell r="K19">
            <v>219.68</v>
          </cell>
          <cell r="L19">
            <v>130220812</v>
          </cell>
          <cell r="M19">
            <v>12972282.31693694</v>
          </cell>
          <cell r="N19">
            <v>2.2791557554496964</v>
          </cell>
        </row>
        <row r="20">
          <cell r="C20" t="str">
            <v>MEEZAN BANK</v>
          </cell>
          <cell r="D20" t="str">
            <v>COMMERCIAL BANKS</v>
          </cell>
          <cell r="F20">
            <v>3553</v>
          </cell>
          <cell r="G20">
            <v>3553</v>
          </cell>
          <cell r="H20">
            <v>0</v>
          </cell>
          <cell r="I20">
            <v>21.918378834787504</v>
          </cell>
          <cell r="J20">
            <v>0</v>
          </cell>
          <cell r="K20">
            <v>15.74</v>
          </cell>
          <cell r="L20">
            <v>0</v>
          </cell>
          <cell r="M20">
            <v>0</v>
          </cell>
          <cell r="N20">
            <v>0</v>
          </cell>
        </row>
        <row r="21">
          <cell r="C21" t="str">
            <v>NATIONAL BANK OF PAKISTAN</v>
          </cell>
          <cell r="D21" t="str">
            <v>COMMERCIAL BANKS</v>
          </cell>
          <cell r="F21">
            <v>10779325</v>
          </cell>
          <cell r="G21">
            <v>3450000</v>
          </cell>
          <cell r="H21">
            <v>7329325</v>
          </cell>
          <cell r="I21">
            <v>75.506926175804139</v>
          </cell>
          <cell r="J21">
            <v>553414801.69347572</v>
          </cell>
          <cell r="K21">
            <v>74.37</v>
          </cell>
          <cell r="L21">
            <v>545081900.25</v>
          </cell>
          <cell r="M21">
            <v>-8332901.4434757233</v>
          </cell>
          <cell r="N21">
            <v>9.540153613435038</v>
          </cell>
        </row>
        <row r="22">
          <cell r="C22" t="str">
            <v>NIB BANK LIMITED</v>
          </cell>
          <cell r="D22" t="str">
            <v>COMMERCIAL BANKS</v>
          </cell>
          <cell r="F22">
            <v>1696039</v>
          </cell>
          <cell r="G22">
            <v>750000</v>
          </cell>
          <cell r="H22">
            <v>946039</v>
          </cell>
          <cell r="I22">
            <v>3.9723744560119196</v>
          </cell>
          <cell r="J22">
            <v>3758021.1579910605</v>
          </cell>
          <cell r="K22">
            <v>4.8</v>
          </cell>
          <cell r="L22">
            <v>4540987.2</v>
          </cell>
          <cell r="M22">
            <v>782966.04200893966</v>
          </cell>
          <cell r="N22">
            <v>7.9477442609583795E-2</v>
          </cell>
        </row>
        <row r="23">
          <cell r="C23" t="str">
            <v>SONERI BANK</v>
          </cell>
          <cell r="D23" t="str">
            <v>COMMERCIAL BANKS</v>
          </cell>
          <cell r="F23">
            <v>15163</v>
          </cell>
          <cell r="G23">
            <v>15163</v>
          </cell>
          <cell r="H23">
            <v>0</v>
          </cell>
          <cell r="I23">
            <v>6.9428872914330935</v>
          </cell>
          <cell r="J23">
            <v>0</v>
          </cell>
          <cell r="K23">
            <v>11.07</v>
          </cell>
          <cell r="L23">
            <v>0</v>
          </cell>
          <cell r="M23">
            <v>0</v>
          </cell>
          <cell r="N23">
            <v>0</v>
          </cell>
        </row>
        <row r="24">
          <cell r="C24" t="str">
            <v>SILKBANK LIMITED (SAUDI PAK)</v>
          </cell>
          <cell r="D24" t="str">
            <v>COMMERCIAL BANKS</v>
          </cell>
          <cell r="F24">
            <v>97704</v>
          </cell>
          <cell r="G24">
            <v>97704</v>
          </cell>
          <cell r="H24">
            <v>0</v>
          </cell>
          <cell r="I24">
            <v>5.1887844919348236</v>
          </cell>
          <cell r="J24">
            <v>0</v>
          </cell>
          <cell r="K24">
            <v>4.74</v>
          </cell>
          <cell r="L24">
            <v>0</v>
          </cell>
          <cell r="M24">
            <v>0</v>
          </cell>
          <cell r="N24">
            <v>0</v>
          </cell>
        </row>
        <row r="25">
          <cell r="C25" t="str">
            <v>UNITED BANK LTD</v>
          </cell>
          <cell r="D25" t="str">
            <v>COMMERCIAL BANKS</v>
          </cell>
          <cell r="F25">
            <v>2157677</v>
          </cell>
          <cell r="G25">
            <v>650000</v>
          </cell>
          <cell r="H25">
            <v>1507677</v>
          </cell>
          <cell r="I25">
            <v>56.231020212941971</v>
          </cell>
          <cell r="J25">
            <v>84778215.861587718</v>
          </cell>
          <cell r="K25">
            <v>58.45</v>
          </cell>
          <cell r="L25">
            <v>88123720.650000006</v>
          </cell>
          <cell r="M25">
            <v>3345504.7884122878</v>
          </cell>
          <cell r="N25">
            <v>1.5423624075626925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8"/>
  <sheetViews>
    <sheetView view="pageBreakPreview" zoomScale="60" zoomScaleNormal="100" workbookViewId="0">
      <selection activeCell="A95" sqref="A95"/>
    </sheetView>
  </sheetViews>
  <sheetFormatPr defaultRowHeight="12.75"/>
  <cols>
    <col min="1" max="16384" width="9" style="662"/>
  </cols>
  <sheetData>
    <row r="8" spans="9:9">
      <c r="I8" s="662" t="s">
        <v>178</v>
      </c>
    </row>
  </sheetData>
  <pageMargins left="0.7" right="0.7" top="0.75" bottom="0.75" header="0.3" footer="0.3"/>
  <pageSetup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64"/>
  <sheetViews>
    <sheetView view="pageBreakPreview" topLeftCell="H18" zoomScaleNormal="100" zoomScaleSheetLayoutView="100" workbookViewId="0">
      <selection activeCell="R3" sqref="R1:V1048576"/>
    </sheetView>
  </sheetViews>
  <sheetFormatPr defaultRowHeight="15.75" outlineLevelRow="2"/>
  <cols>
    <col min="1" max="1" width="2.625" style="767" hidden="1" customWidth="1"/>
    <col min="2" max="3" width="30.5" style="767" hidden="1" customWidth="1"/>
    <col min="4" max="4" width="35.625" style="767" hidden="1" customWidth="1"/>
    <col min="5" max="5" width="32" style="767" customWidth="1"/>
    <col min="6" max="6" width="11" style="767" customWidth="1"/>
    <col min="7" max="7" width="9.25" style="767" bestFit="1" customWidth="1"/>
    <col min="8" max="8" width="9" style="767"/>
    <col min="9" max="9" width="11.125" style="767" bestFit="1" customWidth="1"/>
    <col min="10" max="10" width="0.875" style="767" hidden="1" customWidth="1"/>
    <col min="11" max="11" width="11.125" style="767" bestFit="1" customWidth="1"/>
    <col min="12" max="12" width="13" style="767" bestFit="1" customWidth="1"/>
    <col min="13" max="13" width="9.125" style="767" customWidth="1"/>
    <col min="14" max="14" width="9.625" style="767" customWidth="1"/>
    <col min="15" max="15" width="9.125" style="767" bestFit="1" customWidth="1"/>
    <col min="16" max="16" width="9.375" style="767" customWidth="1"/>
    <col min="17" max="17" width="8.625" style="767" customWidth="1"/>
    <col min="18" max="16384" width="9" style="767"/>
  </cols>
  <sheetData>
    <row r="1" spans="1:17" ht="18.75" hidden="1">
      <c r="B1" s="699"/>
      <c r="C1" s="699"/>
      <c r="D1" s="699"/>
      <c r="E1" s="699" t="s">
        <v>187</v>
      </c>
      <c r="F1" s="772"/>
      <c r="G1" s="772"/>
      <c r="H1" s="772"/>
      <c r="I1" s="772"/>
      <c r="J1" s="772"/>
      <c r="K1" s="772"/>
      <c r="L1" s="772"/>
      <c r="M1" s="772"/>
      <c r="N1" s="772"/>
      <c r="O1" s="773"/>
      <c r="P1" s="774"/>
      <c r="Q1" s="775" t="s">
        <v>680</v>
      </c>
    </row>
    <row r="2" spans="1:17" ht="18.75" hidden="1">
      <c r="B2" s="699"/>
      <c r="C2" s="699"/>
      <c r="D2" s="699"/>
      <c r="E2" s="699" t="s">
        <v>697</v>
      </c>
      <c r="F2" s="700"/>
      <c r="G2" s="700"/>
      <c r="H2" s="700"/>
      <c r="I2" s="700"/>
      <c r="J2" s="700"/>
      <c r="K2" s="700"/>
      <c r="L2" s="700"/>
      <c r="M2" s="700"/>
      <c r="N2" s="700"/>
      <c r="O2" s="701"/>
      <c r="P2" s="701"/>
      <c r="Q2" s="702"/>
    </row>
    <row r="3" spans="1:17" ht="18.75">
      <c r="A3" s="776" t="s">
        <v>681</v>
      </c>
      <c r="B3" s="699"/>
      <c r="C3" s="699"/>
      <c r="D3" s="699"/>
      <c r="E3" s="776" t="s">
        <v>772</v>
      </c>
      <c r="F3" s="777"/>
      <c r="G3" s="777"/>
      <c r="H3" s="777"/>
      <c r="I3" s="777"/>
      <c r="J3" s="777"/>
      <c r="K3" s="777"/>
      <c r="L3" s="777"/>
      <c r="M3" s="777"/>
      <c r="N3" s="777"/>
      <c r="O3" s="778"/>
      <c r="P3" s="631"/>
    </row>
    <row r="4" spans="1:17">
      <c r="A4" s="701" t="s">
        <v>767</v>
      </c>
      <c r="B4" s="701"/>
      <c r="C4" s="701"/>
      <c r="D4" s="701"/>
      <c r="E4" s="701"/>
      <c r="F4" s="700"/>
      <c r="G4" s="700"/>
      <c r="H4" s="700"/>
      <c r="I4" s="700"/>
      <c r="J4" s="700"/>
      <c r="K4" s="700"/>
      <c r="L4" s="700"/>
      <c r="M4" s="700"/>
      <c r="N4" s="700"/>
      <c r="O4" s="701"/>
      <c r="P4" s="701"/>
      <c r="Q4" s="702"/>
    </row>
    <row r="5" spans="1:17">
      <c r="B5" s="701"/>
      <c r="C5" s="701"/>
      <c r="D5" s="701"/>
      <c r="E5" s="701"/>
      <c r="F5" s="700"/>
      <c r="G5" s="700"/>
      <c r="H5" s="700"/>
      <c r="I5" s="700"/>
      <c r="J5" s="700"/>
      <c r="K5" s="700"/>
      <c r="L5" s="700"/>
      <c r="M5" s="700"/>
      <c r="N5" s="700"/>
      <c r="O5" s="701"/>
      <c r="P5" s="701"/>
      <c r="Q5" s="702"/>
    </row>
    <row r="6" spans="1:17" ht="102">
      <c r="A6" s="779" t="s">
        <v>533</v>
      </c>
      <c r="B6" s="779" t="s">
        <v>534</v>
      </c>
      <c r="C6" s="779" t="s">
        <v>682</v>
      </c>
      <c r="D6" s="779" t="s">
        <v>535</v>
      </c>
      <c r="E6" s="780" t="s">
        <v>683</v>
      </c>
      <c r="F6" s="781" t="s">
        <v>684</v>
      </c>
      <c r="G6" s="782" t="s">
        <v>272</v>
      </c>
      <c r="H6" s="782" t="s">
        <v>685</v>
      </c>
      <c r="I6" s="782" t="s">
        <v>686</v>
      </c>
      <c r="J6" s="783"/>
      <c r="K6" s="782" t="s">
        <v>536</v>
      </c>
      <c r="L6" s="782" t="s">
        <v>698</v>
      </c>
      <c r="M6" s="782" t="s">
        <v>699</v>
      </c>
      <c r="N6" s="782" t="s">
        <v>700</v>
      </c>
      <c r="O6" s="784" t="s">
        <v>799</v>
      </c>
      <c r="P6" s="784" t="s">
        <v>687</v>
      </c>
      <c r="Q6" s="785" t="s">
        <v>688</v>
      </c>
    </row>
    <row r="7" spans="1:17" outlineLevel="1">
      <c r="A7" s="786"/>
      <c r="B7" s="786"/>
      <c r="C7" s="786"/>
      <c r="D7" s="786"/>
      <c r="E7" s="786"/>
      <c r="F7" s="787" t="s">
        <v>689</v>
      </c>
      <c r="G7" s="788"/>
      <c r="H7" s="788"/>
      <c r="I7" s="788"/>
      <c r="J7" s="788"/>
      <c r="K7" s="788"/>
      <c r="L7" s="788"/>
      <c r="M7" s="787" t="s">
        <v>690</v>
      </c>
      <c r="N7" s="788"/>
      <c r="O7" s="787" t="s">
        <v>691</v>
      </c>
      <c r="P7" s="789"/>
      <c r="Q7" s="789"/>
    </row>
    <row r="8" spans="1:17" outlineLevel="1">
      <c r="A8" s="786"/>
      <c r="B8" s="786"/>
      <c r="C8" s="786"/>
      <c r="D8" s="786"/>
      <c r="E8" s="786" t="s">
        <v>701</v>
      </c>
      <c r="F8" s="787"/>
      <c r="G8" s="788"/>
      <c r="H8" s="788"/>
      <c r="I8" s="788"/>
      <c r="J8" s="788"/>
      <c r="K8" s="788"/>
      <c r="L8" s="788"/>
      <c r="M8" s="787"/>
      <c r="N8" s="788"/>
      <c r="O8" s="787"/>
      <c r="P8" s="789"/>
      <c r="Q8" s="789"/>
    </row>
    <row r="9" spans="1:17" outlineLevel="2">
      <c r="A9" s="767">
        <v>1</v>
      </c>
      <c r="B9" s="709" t="s">
        <v>307</v>
      </c>
      <c r="C9" s="767">
        <v>6</v>
      </c>
      <c r="D9" s="767" t="s">
        <v>701</v>
      </c>
      <c r="E9" s="767" t="s">
        <v>207</v>
      </c>
      <c r="F9" s="32">
        <v>34300</v>
      </c>
      <c r="G9" s="32">
        <v>0</v>
      </c>
      <c r="H9" s="32">
        <v>0</v>
      </c>
      <c r="I9" s="32">
        <v>0</v>
      </c>
      <c r="J9" s="32">
        <v>0</v>
      </c>
      <c r="K9" s="32">
        <v>0</v>
      </c>
      <c r="L9" s="32">
        <v>34300</v>
      </c>
      <c r="M9" s="32">
        <v>3427.942</v>
      </c>
      <c r="N9" s="32">
        <v>3189.9</v>
      </c>
      <c r="O9" s="631">
        <v>4.2440600000000002E-2</v>
      </c>
      <c r="P9" s="631">
        <v>4.6664621359828282E-2</v>
      </c>
      <c r="Q9" s="631">
        <v>2.9954399999999998E-3</v>
      </c>
    </row>
    <row r="10" spans="1:17" outlineLevel="2">
      <c r="A10" s="767">
        <v>2</v>
      </c>
      <c r="B10" s="709" t="s">
        <v>578</v>
      </c>
      <c r="C10" s="767">
        <v>6</v>
      </c>
      <c r="D10" s="767" t="s">
        <v>701</v>
      </c>
      <c r="E10" s="767" t="s">
        <v>95</v>
      </c>
      <c r="F10" s="790">
        <v>178700</v>
      </c>
      <c r="G10" s="790">
        <v>0</v>
      </c>
      <c r="H10" s="790">
        <v>0</v>
      </c>
      <c r="I10" s="790">
        <v>0</v>
      </c>
      <c r="J10" s="790">
        <v>0</v>
      </c>
      <c r="K10" s="790">
        <v>50000</v>
      </c>
      <c r="L10" s="790">
        <v>128700</v>
      </c>
      <c r="M10" s="790">
        <v>32061.743999999999</v>
      </c>
      <c r="N10" s="790">
        <v>29530.215</v>
      </c>
      <c r="O10" s="791">
        <v>0.39289003</v>
      </c>
      <c r="P10" s="791">
        <v>0.43199357398329774</v>
      </c>
      <c r="Q10" s="791">
        <v>1.156302E-2</v>
      </c>
    </row>
    <row r="11" spans="1:17" outlineLevel="2">
      <c r="A11" s="767">
        <v>3</v>
      </c>
      <c r="B11" s="709" t="s">
        <v>579</v>
      </c>
      <c r="C11" s="767">
        <v>6</v>
      </c>
      <c r="D11" s="767" t="s">
        <v>701</v>
      </c>
      <c r="E11" s="767" t="s">
        <v>220</v>
      </c>
      <c r="F11" s="32">
        <v>200400</v>
      </c>
      <c r="G11" s="32">
        <v>0</v>
      </c>
      <c r="H11" s="32">
        <v>0</v>
      </c>
      <c r="I11" s="32">
        <v>0</v>
      </c>
      <c r="J11" s="32">
        <v>0</v>
      </c>
      <c r="K11" s="32">
        <v>99700</v>
      </c>
      <c r="L11" s="32">
        <v>100700</v>
      </c>
      <c r="M11" s="32">
        <v>17211.644</v>
      </c>
      <c r="N11" s="32">
        <v>14774.704</v>
      </c>
      <c r="O11" s="631">
        <v>0.19657269999999999</v>
      </c>
      <c r="P11" s="631">
        <v>0.21613717290935147</v>
      </c>
      <c r="Q11" s="631">
        <v>8.2259199999999994E-3</v>
      </c>
    </row>
    <row r="12" spans="1:17" outlineLevel="1">
      <c r="B12" s="709"/>
      <c r="D12" s="703" t="s">
        <v>692</v>
      </c>
      <c r="F12" s="704">
        <v>413400</v>
      </c>
      <c r="G12" s="704">
        <v>0</v>
      </c>
      <c r="H12" s="704">
        <v>0</v>
      </c>
      <c r="I12" s="704">
        <v>0</v>
      </c>
      <c r="J12" s="704">
        <v>0</v>
      </c>
      <c r="K12" s="704">
        <v>149700</v>
      </c>
      <c r="L12" s="704">
        <v>263700</v>
      </c>
      <c r="M12" s="704">
        <v>52701.33</v>
      </c>
      <c r="N12" s="704">
        <v>47494.819000000003</v>
      </c>
      <c r="O12" s="705">
        <v>0.63190332999999999</v>
      </c>
      <c r="P12" s="705">
        <v>0.69479536825247745</v>
      </c>
      <c r="Q12" s="631"/>
    </row>
    <row r="13" spans="1:17" outlineLevel="1">
      <c r="B13" s="709"/>
      <c r="D13" s="703"/>
      <c r="E13" s="710" t="s">
        <v>335</v>
      </c>
      <c r="F13" s="707"/>
      <c r="G13" s="707"/>
      <c r="H13" s="707"/>
      <c r="I13" s="707"/>
      <c r="J13" s="707"/>
      <c r="K13" s="707"/>
      <c r="L13" s="707"/>
      <c r="M13" s="707"/>
      <c r="N13" s="707"/>
      <c r="O13" s="708"/>
      <c r="P13" s="708"/>
      <c r="Q13" s="631"/>
    </row>
    <row r="14" spans="1:17" outlineLevel="2">
      <c r="A14" s="767">
        <v>4</v>
      </c>
      <c r="B14" s="709" t="s">
        <v>560</v>
      </c>
      <c r="C14" s="767">
        <v>15</v>
      </c>
      <c r="D14" s="767" t="s">
        <v>335</v>
      </c>
      <c r="E14" s="767" t="s">
        <v>702</v>
      </c>
      <c r="F14" s="32">
        <v>50000</v>
      </c>
      <c r="G14" s="32">
        <v>0</v>
      </c>
      <c r="H14" s="32">
        <v>0</v>
      </c>
      <c r="I14" s="32">
        <v>0</v>
      </c>
      <c r="J14" s="32">
        <v>0</v>
      </c>
      <c r="K14" s="32">
        <v>0</v>
      </c>
      <c r="L14" s="32">
        <v>50000</v>
      </c>
      <c r="M14" s="32">
        <v>1743.5</v>
      </c>
      <c r="N14" s="32">
        <v>1674</v>
      </c>
      <c r="O14" s="631">
        <v>2.2272030000000002E-2</v>
      </c>
      <c r="P14" s="631">
        <v>2.4488722579501722E-2</v>
      </c>
      <c r="Q14" s="631">
        <v>3.75625E-3</v>
      </c>
    </row>
    <row r="15" spans="1:17" outlineLevel="1">
      <c r="B15" s="709"/>
      <c r="D15" s="710" t="s">
        <v>693</v>
      </c>
      <c r="F15" s="704">
        <v>50000</v>
      </c>
      <c r="G15" s="704">
        <v>0</v>
      </c>
      <c r="H15" s="704">
        <v>0</v>
      </c>
      <c r="I15" s="704">
        <v>0</v>
      </c>
      <c r="J15" s="704">
        <v>0</v>
      </c>
      <c r="K15" s="704">
        <v>0</v>
      </c>
      <c r="L15" s="704">
        <v>50000</v>
      </c>
      <c r="M15" s="704">
        <v>1743.5</v>
      </c>
      <c r="N15" s="704">
        <v>1674</v>
      </c>
      <c r="O15" s="705">
        <v>2.2272030000000002E-2</v>
      </c>
      <c r="P15" s="705">
        <v>2.4488722579501722E-2</v>
      </c>
      <c r="Q15" s="631"/>
    </row>
    <row r="16" spans="1:17" outlineLevel="1">
      <c r="D16" s="710"/>
      <c r="E16" s="710" t="s">
        <v>703</v>
      </c>
      <c r="F16" s="707"/>
      <c r="G16" s="707"/>
      <c r="H16" s="707"/>
      <c r="I16" s="707"/>
      <c r="J16" s="707"/>
      <c r="K16" s="707"/>
      <c r="L16" s="707"/>
      <c r="M16" s="707"/>
      <c r="N16" s="707"/>
      <c r="O16" s="708"/>
      <c r="P16" s="708"/>
      <c r="Q16" s="631"/>
    </row>
    <row r="17" spans="1:17" outlineLevel="2">
      <c r="A17" s="767">
        <v>5</v>
      </c>
      <c r="B17" s="709" t="s">
        <v>167</v>
      </c>
      <c r="C17" s="767">
        <v>18</v>
      </c>
      <c r="D17" s="767" t="s">
        <v>703</v>
      </c>
      <c r="E17" s="767" t="s">
        <v>451</v>
      </c>
      <c r="F17" s="32">
        <v>5500</v>
      </c>
      <c r="G17" s="32">
        <v>0</v>
      </c>
      <c r="H17" s="32">
        <v>0</v>
      </c>
      <c r="I17" s="32">
        <v>0</v>
      </c>
      <c r="J17" s="32">
        <v>0</v>
      </c>
      <c r="K17" s="32">
        <v>0</v>
      </c>
      <c r="L17" s="32">
        <v>5500</v>
      </c>
      <c r="M17" s="32">
        <v>514.63499999999999</v>
      </c>
      <c r="N17" s="32">
        <v>540.32000000000005</v>
      </c>
      <c r="O17" s="631">
        <v>7.1887799999999996E-3</v>
      </c>
      <c r="P17" s="631">
        <v>7.9042691661627071E-3</v>
      </c>
      <c r="Q17" s="631">
        <v>4.7530000000000001E-4</v>
      </c>
    </row>
    <row r="18" spans="1:17" outlineLevel="1">
      <c r="B18" s="709"/>
      <c r="D18" s="710" t="s">
        <v>694</v>
      </c>
      <c r="F18" s="704">
        <v>5500</v>
      </c>
      <c r="G18" s="704">
        <v>0</v>
      </c>
      <c r="H18" s="704">
        <v>0</v>
      </c>
      <c r="I18" s="704">
        <v>0</v>
      </c>
      <c r="J18" s="704">
        <v>0</v>
      </c>
      <c r="K18" s="704">
        <v>0</v>
      </c>
      <c r="L18" s="704">
        <v>5500</v>
      </c>
      <c r="M18" s="704">
        <v>514.63499999999999</v>
      </c>
      <c r="N18" s="704">
        <v>540.32000000000005</v>
      </c>
      <c r="O18" s="705">
        <v>7.1887799999999996E-3</v>
      </c>
      <c r="P18" s="705">
        <v>7.9042691661627071E-3</v>
      </c>
      <c r="Q18" s="631"/>
    </row>
    <row r="19" spans="1:17" outlineLevel="1">
      <c r="B19" s="709"/>
      <c r="D19" s="710"/>
      <c r="E19" s="710" t="s">
        <v>704</v>
      </c>
      <c r="F19" s="707"/>
      <c r="G19" s="707"/>
      <c r="H19" s="707"/>
      <c r="I19" s="707"/>
      <c r="J19" s="707"/>
      <c r="K19" s="707"/>
      <c r="L19" s="707"/>
      <c r="M19" s="707"/>
      <c r="N19" s="707"/>
      <c r="O19" s="708"/>
      <c r="P19" s="708"/>
      <c r="Q19" s="631"/>
    </row>
    <row r="20" spans="1:17" outlineLevel="2">
      <c r="A20" s="767">
        <v>6</v>
      </c>
      <c r="B20" s="767" t="s">
        <v>541</v>
      </c>
      <c r="C20" s="767">
        <v>20</v>
      </c>
      <c r="D20" s="767" t="s">
        <v>704</v>
      </c>
      <c r="E20" s="767" t="s">
        <v>515</v>
      </c>
      <c r="F20" s="32">
        <v>32500</v>
      </c>
      <c r="G20" s="32">
        <v>0</v>
      </c>
      <c r="H20" s="32">
        <v>0</v>
      </c>
      <c r="I20" s="32">
        <v>0</v>
      </c>
      <c r="J20" s="32">
        <v>0</v>
      </c>
      <c r="K20" s="32">
        <v>10000</v>
      </c>
      <c r="L20" s="32">
        <v>22500</v>
      </c>
      <c r="M20" s="32">
        <v>4032.9</v>
      </c>
      <c r="N20" s="32">
        <v>2805.0749999999998</v>
      </c>
      <c r="O20" s="631">
        <v>3.7320619999999999E-2</v>
      </c>
      <c r="P20" s="631">
        <v>4.1035067795517195E-2</v>
      </c>
      <c r="Q20" s="631">
        <v>5.2313999999999995E-4</v>
      </c>
    </row>
    <row r="21" spans="1:17" outlineLevel="2">
      <c r="A21" s="767">
        <v>7</v>
      </c>
      <c r="B21" s="767" t="s">
        <v>542</v>
      </c>
      <c r="C21" s="767">
        <v>20</v>
      </c>
      <c r="D21" s="767" t="s">
        <v>704</v>
      </c>
      <c r="E21" s="767" t="s">
        <v>144</v>
      </c>
      <c r="F21" s="32">
        <v>30200</v>
      </c>
      <c r="G21" s="32">
        <v>0</v>
      </c>
      <c r="H21" s="32">
        <v>0</v>
      </c>
      <c r="I21" s="32">
        <v>0</v>
      </c>
      <c r="J21" s="32">
        <v>0</v>
      </c>
      <c r="K21" s="32">
        <v>30200</v>
      </c>
      <c r="L21" s="32">
        <v>0</v>
      </c>
      <c r="M21" s="32">
        <v>0</v>
      </c>
      <c r="N21" s="32">
        <v>0</v>
      </c>
      <c r="O21" s="631">
        <v>0</v>
      </c>
      <c r="P21" s="631">
        <v>0</v>
      </c>
      <c r="Q21" s="631">
        <v>0</v>
      </c>
    </row>
    <row r="22" spans="1:17" outlineLevel="1">
      <c r="D22" s="710" t="s">
        <v>695</v>
      </c>
      <c r="F22" s="704">
        <v>62700</v>
      </c>
      <c r="G22" s="704">
        <v>0</v>
      </c>
      <c r="H22" s="704">
        <v>0</v>
      </c>
      <c r="I22" s="704">
        <v>0</v>
      </c>
      <c r="J22" s="704">
        <v>0</v>
      </c>
      <c r="K22" s="704">
        <v>40200</v>
      </c>
      <c r="L22" s="704">
        <v>22500</v>
      </c>
      <c r="M22" s="704">
        <v>4032.9</v>
      </c>
      <c r="N22" s="704">
        <v>2805.0749999999998</v>
      </c>
      <c r="O22" s="705">
        <v>3.7320619999999999E-2</v>
      </c>
      <c r="P22" s="705">
        <v>4.1035067795517195E-2</v>
      </c>
      <c r="Q22" s="791"/>
    </row>
    <row r="23" spans="1:17" outlineLevel="1">
      <c r="D23" s="710"/>
      <c r="E23" s="710" t="s">
        <v>705</v>
      </c>
      <c r="F23" s="711"/>
      <c r="G23" s="711"/>
      <c r="H23" s="711"/>
      <c r="I23" s="711"/>
      <c r="J23" s="711"/>
      <c r="K23" s="711"/>
      <c r="L23" s="711"/>
      <c r="M23" s="711"/>
      <c r="N23" s="711"/>
      <c r="O23" s="706"/>
      <c r="P23" s="706"/>
      <c r="Q23" s="791"/>
    </row>
    <row r="24" spans="1:17" outlineLevel="2">
      <c r="A24" s="767">
        <v>8</v>
      </c>
      <c r="B24" s="709" t="s">
        <v>549</v>
      </c>
      <c r="C24" s="767">
        <v>27</v>
      </c>
      <c r="D24" s="767" t="s">
        <v>705</v>
      </c>
      <c r="E24" s="767" t="s">
        <v>706</v>
      </c>
      <c r="F24" s="790">
        <v>106000</v>
      </c>
      <c r="G24" s="790">
        <v>0</v>
      </c>
      <c r="H24" s="790">
        <v>0</v>
      </c>
      <c r="I24" s="790">
        <v>0</v>
      </c>
      <c r="J24" s="790">
        <v>0</v>
      </c>
      <c r="K24" s="790">
        <v>0</v>
      </c>
      <c r="L24" s="790">
        <v>106000</v>
      </c>
      <c r="M24" s="790">
        <v>5863.92</v>
      </c>
      <c r="N24" s="790">
        <v>6375.9</v>
      </c>
      <c r="O24" s="791">
        <v>8.4829299999999996E-2</v>
      </c>
      <c r="P24" s="791">
        <v>9.3272190140170255E-2</v>
      </c>
      <c r="Q24" s="791">
        <v>1.13477E-2</v>
      </c>
    </row>
    <row r="25" spans="1:17" outlineLevel="2">
      <c r="A25" s="767">
        <v>9</v>
      </c>
      <c r="B25" s="709" t="s">
        <v>550</v>
      </c>
      <c r="C25" s="767">
        <v>27</v>
      </c>
      <c r="D25" s="767" t="s">
        <v>705</v>
      </c>
      <c r="E25" s="767" t="s">
        <v>707</v>
      </c>
      <c r="F25" s="32">
        <v>150000</v>
      </c>
      <c r="G25" s="32">
        <v>0</v>
      </c>
      <c r="H25" s="32">
        <v>0</v>
      </c>
      <c r="I25" s="32">
        <v>0</v>
      </c>
      <c r="J25" s="32">
        <v>0</v>
      </c>
      <c r="K25" s="32">
        <v>0</v>
      </c>
      <c r="L25" s="32">
        <v>150000</v>
      </c>
      <c r="M25" s="32">
        <v>22413</v>
      </c>
      <c r="N25" s="32">
        <v>18517.5</v>
      </c>
      <c r="O25" s="631">
        <v>0.24636939999999999</v>
      </c>
      <c r="P25" s="631">
        <v>0.27089003606088596</v>
      </c>
      <c r="Q25" s="631">
        <v>1.179024E-2</v>
      </c>
    </row>
    <row r="26" spans="1:17" outlineLevel="1">
      <c r="B26" s="709"/>
      <c r="D26" s="710" t="s">
        <v>696</v>
      </c>
      <c r="F26" s="704">
        <v>256000</v>
      </c>
      <c r="G26" s="704">
        <v>0</v>
      </c>
      <c r="H26" s="704">
        <v>0</v>
      </c>
      <c r="I26" s="704">
        <v>0</v>
      </c>
      <c r="J26" s="704">
        <v>0</v>
      </c>
      <c r="K26" s="704">
        <v>0</v>
      </c>
      <c r="L26" s="704">
        <v>256000</v>
      </c>
      <c r="M26" s="704">
        <v>28276.92</v>
      </c>
      <c r="N26" s="704">
        <v>24893.4</v>
      </c>
      <c r="O26" s="705">
        <v>0.33119869999999996</v>
      </c>
      <c r="P26" s="705">
        <v>0.3641622262010562</v>
      </c>
      <c r="Q26" s="631"/>
    </row>
    <row r="27" spans="1:17" outlineLevel="1">
      <c r="B27" s="709"/>
      <c r="D27" s="710"/>
      <c r="F27" s="711"/>
      <c r="G27" s="711"/>
      <c r="H27" s="711"/>
      <c r="I27" s="711"/>
      <c r="J27" s="711"/>
      <c r="K27" s="711"/>
      <c r="L27" s="711"/>
      <c r="M27" s="711"/>
      <c r="N27" s="711"/>
      <c r="O27" s="706"/>
      <c r="P27" s="706"/>
      <c r="Q27" s="631"/>
    </row>
    <row r="28" spans="1:17" ht="16.5" thickBot="1">
      <c r="B28" s="709"/>
      <c r="D28" s="710" t="s">
        <v>584</v>
      </c>
      <c r="F28" s="713">
        <v>787600</v>
      </c>
      <c r="G28" s="713">
        <v>0</v>
      </c>
      <c r="H28" s="713">
        <v>0</v>
      </c>
      <c r="I28" s="713">
        <v>0</v>
      </c>
      <c r="J28" s="713">
        <v>0</v>
      </c>
      <c r="K28" s="713">
        <v>189900</v>
      </c>
      <c r="L28" s="713">
        <v>597700</v>
      </c>
      <c r="M28" s="713">
        <v>87269.285000000003</v>
      </c>
      <c r="N28" s="713">
        <v>77407.614000000001</v>
      </c>
      <c r="O28" s="792">
        <v>1.02988346</v>
      </c>
      <c r="P28" s="792">
        <v>1.1323856539947155</v>
      </c>
      <c r="Q28" s="631"/>
    </row>
    <row r="29" spans="1:17" ht="16.5" hidden="1" thickTop="1">
      <c r="F29" s="33">
        <v>0</v>
      </c>
      <c r="G29" s="33">
        <v>0</v>
      </c>
      <c r="H29" s="33">
        <v>0</v>
      </c>
      <c r="I29" s="33">
        <v>0</v>
      </c>
      <c r="J29" s="33">
        <v>0</v>
      </c>
      <c r="K29" s="33">
        <v>0</v>
      </c>
      <c r="L29" s="33">
        <v>0</v>
      </c>
      <c r="M29" s="33">
        <v>0</v>
      </c>
      <c r="N29" s="33">
        <v>0</v>
      </c>
      <c r="O29" s="33">
        <v>1.02988346</v>
      </c>
    </row>
    <row r="30" spans="1:17" ht="16.5" thickTop="1">
      <c r="A30" s="776" t="s">
        <v>768</v>
      </c>
      <c r="E30" s="767" t="s">
        <v>773</v>
      </c>
    </row>
    <row r="31" spans="1:17" ht="99" customHeight="1">
      <c r="A31" s="780" t="s">
        <v>533</v>
      </c>
      <c r="B31" s="780" t="s">
        <v>534</v>
      </c>
      <c r="C31" s="780" t="s">
        <v>710</v>
      </c>
      <c r="D31" s="780" t="s">
        <v>535</v>
      </c>
      <c r="E31" s="780" t="s">
        <v>683</v>
      </c>
      <c r="F31" s="781" t="s">
        <v>684</v>
      </c>
      <c r="G31" s="782" t="s">
        <v>272</v>
      </c>
      <c r="H31" s="782" t="s">
        <v>685</v>
      </c>
      <c r="I31" s="782" t="s">
        <v>686</v>
      </c>
      <c r="J31" s="796" t="s">
        <v>292</v>
      </c>
      <c r="K31" s="782" t="s">
        <v>536</v>
      </c>
      <c r="L31" s="782" t="s">
        <v>698</v>
      </c>
      <c r="M31" s="782" t="s">
        <v>699</v>
      </c>
      <c r="N31" s="782" t="s">
        <v>700</v>
      </c>
      <c r="O31" s="784" t="s">
        <v>799</v>
      </c>
      <c r="P31" s="784" t="s">
        <v>687</v>
      </c>
      <c r="Q31" s="785" t="s">
        <v>688</v>
      </c>
    </row>
    <row r="32" spans="1:17" outlineLevel="1">
      <c r="A32" s="786"/>
      <c r="B32" s="786"/>
      <c r="C32" s="786"/>
      <c r="D32" s="786"/>
      <c r="E32" s="786"/>
      <c r="F32" s="787" t="s">
        <v>714</v>
      </c>
      <c r="G32" s="788"/>
      <c r="H32" s="788"/>
      <c r="I32" s="788"/>
      <c r="J32" s="788"/>
      <c r="K32" s="788"/>
      <c r="L32" s="788"/>
      <c r="M32" s="787" t="s">
        <v>715</v>
      </c>
      <c r="N32" s="788"/>
      <c r="O32" s="787" t="s">
        <v>716</v>
      </c>
      <c r="P32" s="789"/>
      <c r="Q32" s="789"/>
    </row>
    <row r="33" spans="1:17" outlineLevel="1">
      <c r="A33" s="786"/>
      <c r="B33" s="786"/>
      <c r="C33" s="786"/>
      <c r="D33" s="786"/>
      <c r="E33" s="786" t="s">
        <v>758</v>
      </c>
      <c r="F33" s="787"/>
      <c r="G33" s="788"/>
      <c r="H33" s="788"/>
      <c r="I33" s="788"/>
      <c r="J33" s="788"/>
      <c r="K33" s="788"/>
      <c r="L33" s="788"/>
      <c r="M33" s="787"/>
      <c r="N33" s="788"/>
      <c r="O33" s="787"/>
      <c r="P33" s="789"/>
      <c r="Q33" s="789"/>
    </row>
    <row r="34" spans="1:17" outlineLevel="2">
      <c r="A34" s="524">
        <v>1</v>
      </c>
      <c r="B34" s="524" t="s">
        <v>583</v>
      </c>
      <c r="C34" s="524">
        <v>4</v>
      </c>
      <c r="D34" s="524" t="s">
        <v>758</v>
      </c>
      <c r="E34" s="524" t="s">
        <v>479</v>
      </c>
      <c r="F34" s="799">
        <v>250000</v>
      </c>
      <c r="G34" s="799">
        <v>0</v>
      </c>
      <c r="H34" s="799">
        <v>0</v>
      </c>
      <c r="I34" s="799">
        <v>0</v>
      </c>
      <c r="J34" s="799">
        <v>0</v>
      </c>
      <c r="K34" s="799">
        <v>0</v>
      </c>
      <c r="L34" s="799">
        <v>250000</v>
      </c>
      <c r="M34" s="799">
        <v>950</v>
      </c>
      <c r="N34" s="799">
        <v>2057.5</v>
      </c>
      <c r="O34" s="800">
        <v>2.737438E-2</v>
      </c>
      <c r="P34" s="800">
        <v>3.0098892895653998E-2</v>
      </c>
      <c r="Q34" s="800">
        <v>1.25</v>
      </c>
    </row>
    <row r="35" spans="1:17" outlineLevel="1">
      <c r="A35" s="524"/>
      <c r="B35" s="524"/>
      <c r="C35" s="524"/>
      <c r="D35" s="802" t="s">
        <v>717</v>
      </c>
      <c r="E35" s="524"/>
      <c r="F35" s="803">
        <v>250000</v>
      </c>
      <c r="G35" s="803">
        <v>0</v>
      </c>
      <c r="H35" s="803">
        <v>0</v>
      </c>
      <c r="I35" s="803">
        <v>0</v>
      </c>
      <c r="J35" s="803"/>
      <c r="K35" s="803">
        <v>0</v>
      </c>
      <c r="L35" s="803">
        <v>250000</v>
      </c>
      <c r="M35" s="803">
        <v>950</v>
      </c>
      <c r="N35" s="803">
        <v>2057.5</v>
      </c>
      <c r="O35" s="804">
        <v>2.737438E-2</v>
      </c>
      <c r="P35" s="804">
        <v>3.0098892895653998E-2</v>
      </c>
      <c r="Q35" s="801"/>
    </row>
    <row r="36" spans="1:17" outlineLevel="1">
      <c r="A36" s="524"/>
      <c r="B36" s="524"/>
      <c r="C36" s="524"/>
      <c r="D36" s="802"/>
      <c r="E36" s="786" t="s">
        <v>759</v>
      </c>
      <c r="F36" s="805"/>
      <c r="G36" s="805"/>
      <c r="H36" s="805"/>
      <c r="I36" s="805"/>
      <c r="J36" s="805"/>
      <c r="K36" s="805"/>
      <c r="L36" s="805"/>
      <c r="M36" s="805"/>
      <c r="N36" s="805"/>
      <c r="O36" s="801"/>
      <c r="P36" s="801"/>
      <c r="Q36" s="801"/>
    </row>
    <row r="37" spans="1:17" outlineLevel="2">
      <c r="A37" s="524">
        <v>2</v>
      </c>
      <c r="B37" s="806" t="s">
        <v>581</v>
      </c>
      <c r="C37" s="524">
        <v>5</v>
      </c>
      <c r="D37" s="524" t="s">
        <v>759</v>
      </c>
      <c r="E37" s="807" t="s">
        <v>532</v>
      </c>
      <c r="F37" s="799">
        <v>700000</v>
      </c>
      <c r="G37" s="799">
        <v>0</v>
      </c>
      <c r="H37" s="799">
        <v>0</v>
      </c>
      <c r="I37" s="799">
        <v>0</v>
      </c>
      <c r="J37" s="799">
        <v>0</v>
      </c>
      <c r="K37" s="799">
        <v>0</v>
      </c>
      <c r="L37" s="799">
        <v>700000</v>
      </c>
      <c r="M37" s="799">
        <v>5833.9042724999999</v>
      </c>
      <c r="N37" s="799">
        <v>12572</v>
      </c>
      <c r="O37" s="800">
        <v>0.16726642999999999</v>
      </c>
      <c r="P37" s="800">
        <v>0.183914110077357</v>
      </c>
      <c r="Q37" s="800">
        <v>9.1708830000000005E-2</v>
      </c>
    </row>
    <row r="38" spans="1:17" outlineLevel="2">
      <c r="A38" s="524">
        <v>3</v>
      </c>
      <c r="B38" s="709" t="s">
        <v>718</v>
      </c>
      <c r="C38" s="524"/>
      <c r="D38" s="524"/>
      <c r="E38" s="807" t="s">
        <v>719</v>
      </c>
      <c r="F38" s="799">
        <v>0</v>
      </c>
      <c r="G38" s="799">
        <v>0</v>
      </c>
      <c r="H38" s="799">
        <v>0</v>
      </c>
      <c r="I38" s="799">
        <v>140000</v>
      </c>
      <c r="J38" s="799">
        <v>0</v>
      </c>
      <c r="K38" s="799">
        <v>0</v>
      </c>
      <c r="L38" s="799">
        <v>140000</v>
      </c>
      <c r="M38" s="799">
        <v>0</v>
      </c>
      <c r="N38" s="799">
        <v>1117.2</v>
      </c>
      <c r="O38" s="800">
        <v>1.4863990000000001E-2</v>
      </c>
      <c r="P38" s="800">
        <v>1.6343369692843085E-2</v>
      </c>
      <c r="Q38" s="800">
        <v>140</v>
      </c>
    </row>
    <row r="39" spans="1:17" outlineLevel="2">
      <c r="A39" s="524">
        <v>4</v>
      </c>
      <c r="B39" s="806" t="s">
        <v>582</v>
      </c>
      <c r="C39" s="524">
        <v>5</v>
      </c>
      <c r="D39" s="524" t="s">
        <v>759</v>
      </c>
      <c r="E39" s="807" t="s">
        <v>720</v>
      </c>
      <c r="F39" s="799">
        <v>900000</v>
      </c>
      <c r="G39" s="799">
        <v>0</v>
      </c>
      <c r="H39" s="799">
        <v>0</v>
      </c>
      <c r="I39" s="799">
        <v>0</v>
      </c>
      <c r="J39" s="799">
        <v>0</v>
      </c>
      <c r="K39" s="799">
        <v>0</v>
      </c>
      <c r="L39" s="799">
        <v>900000</v>
      </c>
      <c r="M39" s="799">
        <v>15171.221751000001</v>
      </c>
      <c r="N39" s="799">
        <v>26550</v>
      </c>
      <c r="O39" s="800">
        <v>0.35323923000000002</v>
      </c>
      <c r="P39" s="800">
        <v>0.38839640650284984</v>
      </c>
      <c r="Q39" s="800">
        <v>1.25</v>
      </c>
    </row>
    <row r="40" spans="1:17" outlineLevel="1">
      <c r="A40" s="524"/>
      <c r="B40" s="806"/>
      <c r="C40" s="524"/>
      <c r="D40" s="808" t="s">
        <v>721</v>
      </c>
      <c r="E40" s="807"/>
      <c r="F40" s="803">
        <v>1600000</v>
      </c>
      <c r="G40" s="803">
        <v>0</v>
      </c>
      <c r="H40" s="803">
        <v>0</v>
      </c>
      <c r="I40" s="803">
        <v>140000</v>
      </c>
      <c r="J40" s="803"/>
      <c r="K40" s="803">
        <v>0</v>
      </c>
      <c r="L40" s="803">
        <v>1740000</v>
      </c>
      <c r="M40" s="803">
        <v>21005.126023500001</v>
      </c>
      <c r="N40" s="803">
        <v>40239.199999999997</v>
      </c>
      <c r="O40" s="804">
        <v>0.53536965000000003</v>
      </c>
      <c r="P40" s="804">
        <v>0.58865388627304993</v>
      </c>
      <c r="Q40" s="801"/>
    </row>
    <row r="41" spans="1:17" outlineLevel="1">
      <c r="A41" s="524"/>
      <c r="B41" s="806"/>
      <c r="C41" s="524"/>
      <c r="D41" s="808"/>
      <c r="E41" s="786" t="s">
        <v>701</v>
      </c>
      <c r="F41" s="805"/>
      <c r="G41" s="805"/>
      <c r="H41" s="805"/>
      <c r="I41" s="805"/>
      <c r="J41" s="805"/>
      <c r="K41" s="805"/>
      <c r="L41" s="805"/>
      <c r="M41" s="805"/>
      <c r="N41" s="805"/>
      <c r="O41" s="801"/>
      <c r="P41" s="801"/>
      <c r="Q41" s="801"/>
    </row>
    <row r="42" spans="1:17" outlineLevel="2">
      <c r="A42" s="524">
        <v>5</v>
      </c>
      <c r="B42" s="806" t="s">
        <v>307</v>
      </c>
      <c r="C42" s="524">
        <v>6</v>
      </c>
      <c r="D42" s="524" t="s">
        <v>701</v>
      </c>
      <c r="E42" s="524" t="s">
        <v>207</v>
      </c>
      <c r="F42" s="799">
        <v>1058314</v>
      </c>
      <c r="G42" s="799">
        <v>0</v>
      </c>
      <c r="H42" s="799">
        <v>0</v>
      </c>
      <c r="I42" s="799">
        <v>0</v>
      </c>
      <c r="J42" s="799">
        <v>0</v>
      </c>
      <c r="K42" s="799">
        <v>0</v>
      </c>
      <c r="L42" s="799">
        <v>1058314</v>
      </c>
      <c r="M42" s="799">
        <v>93372.089125499988</v>
      </c>
      <c r="N42" s="799">
        <v>98423.202000000005</v>
      </c>
      <c r="O42" s="800">
        <v>1.3094891200000001</v>
      </c>
      <c r="P42" s="800">
        <v>1.4398198860001548</v>
      </c>
      <c r="Q42" s="800">
        <v>9.2423210000000006E-2</v>
      </c>
    </row>
    <row r="43" spans="1:17" outlineLevel="2">
      <c r="A43" s="524">
        <v>6</v>
      </c>
      <c r="B43" s="524" t="s">
        <v>574</v>
      </c>
      <c r="C43" s="524">
        <v>6</v>
      </c>
      <c r="D43" s="524" t="s">
        <v>701</v>
      </c>
      <c r="E43" s="524" t="s">
        <v>208</v>
      </c>
      <c r="F43" s="799">
        <v>3999442</v>
      </c>
      <c r="G43" s="799">
        <v>0</v>
      </c>
      <c r="H43" s="799">
        <v>0</v>
      </c>
      <c r="I43" s="799">
        <v>0</v>
      </c>
      <c r="J43" s="799">
        <v>0</v>
      </c>
      <c r="K43" s="799">
        <v>0</v>
      </c>
      <c r="L43" s="799">
        <v>3999442</v>
      </c>
      <c r="M43" s="799">
        <v>44077.4597393</v>
      </c>
      <c r="N43" s="799">
        <v>87227.830019999994</v>
      </c>
      <c r="O43" s="800">
        <v>1.1605382900000001</v>
      </c>
      <c r="P43" s="800">
        <v>1.2760442834956462</v>
      </c>
      <c r="Q43" s="800">
        <v>0.31735052000000002</v>
      </c>
    </row>
    <row r="44" spans="1:17" outlineLevel="2">
      <c r="A44" s="524">
        <v>7</v>
      </c>
      <c r="B44" s="524" t="s">
        <v>309</v>
      </c>
      <c r="C44" s="524">
        <v>6</v>
      </c>
      <c r="D44" s="524" t="s">
        <v>701</v>
      </c>
      <c r="E44" s="524" t="s">
        <v>476</v>
      </c>
      <c r="F44" s="799">
        <v>5359113</v>
      </c>
      <c r="G44" s="799">
        <v>0</v>
      </c>
      <c r="H44" s="799">
        <v>0</v>
      </c>
      <c r="I44" s="799">
        <v>0</v>
      </c>
      <c r="J44" s="799">
        <v>0</v>
      </c>
      <c r="K44" s="799">
        <v>50000</v>
      </c>
      <c r="L44" s="799">
        <v>5309113</v>
      </c>
      <c r="M44" s="799">
        <v>55713.131098700003</v>
      </c>
      <c r="N44" s="799">
        <v>132356.18708999999</v>
      </c>
      <c r="O44" s="800">
        <v>1.7609566000000001</v>
      </c>
      <c r="P44" s="800">
        <v>1.9362209960141201</v>
      </c>
      <c r="Q44" s="800">
        <v>0.39351355999999998</v>
      </c>
    </row>
    <row r="45" spans="1:17" outlineLevel="2">
      <c r="A45" s="524">
        <v>8</v>
      </c>
      <c r="B45" s="524" t="s">
        <v>576</v>
      </c>
      <c r="C45" s="524">
        <v>6</v>
      </c>
      <c r="D45" s="524" t="s">
        <v>701</v>
      </c>
      <c r="E45" s="524" t="s">
        <v>478</v>
      </c>
      <c r="F45" s="799">
        <v>148489</v>
      </c>
      <c r="G45" s="799">
        <v>150000</v>
      </c>
      <c r="H45" s="799">
        <v>0</v>
      </c>
      <c r="I45" s="799">
        <v>0</v>
      </c>
      <c r="J45" s="799">
        <v>0</v>
      </c>
      <c r="K45" s="799">
        <v>0</v>
      </c>
      <c r="L45" s="799">
        <v>298489</v>
      </c>
      <c r="M45" s="799">
        <v>11761.013336</v>
      </c>
      <c r="N45" s="799">
        <v>12417.142400000001</v>
      </c>
      <c r="O45" s="800">
        <v>0.16520609</v>
      </c>
      <c r="P45" s="800">
        <v>0.18164871891503476</v>
      </c>
      <c r="Q45" s="800">
        <v>2.6856410000000001E-2</v>
      </c>
    </row>
    <row r="46" spans="1:17" outlineLevel="2">
      <c r="A46" s="524">
        <v>9</v>
      </c>
      <c r="B46" s="806" t="s">
        <v>575</v>
      </c>
      <c r="C46" s="524">
        <v>6</v>
      </c>
      <c r="D46" s="524" t="s">
        <v>701</v>
      </c>
      <c r="E46" s="524" t="s">
        <v>477</v>
      </c>
      <c r="F46" s="799">
        <v>100000</v>
      </c>
      <c r="G46" s="799">
        <v>0</v>
      </c>
      <c r="H46" s="799">
        <v>0</v>
      </c>
      <c r="I46" s="799">
        <v>0</v>
      </c>
      <c r="J46" s="799">
        <v>0</v>
      </c>
      <c r="K46" s="799">
        <v>100000</v>
      </c>
      <c r="L46" s="799">
        <v>0</v>
      </c>
      <c r="M46" s="799">
        <v>0</v>
      </c>
      <c r="N46" s="799">
        <v>0</v>
      </c>
      <c r="O46" s="800">
        <v>0</v>
      </c>
      <c r="P46" s="800">
        <v>0</v>
      </c>
      <c r="Q46" s="800">
        <v>0</v>
      </c>
    </row>
    <row r="47" spans="1:17" outlineLevel="2">
      <c r="A47" s="524">
        <v>10</v>
      </c>
      <c r="B47" s="524" t="s">
        <v>313</v>
      </c>
      <c r="C47" s="524">
        <v>6</v>
      </c>
      <c r="D47" s="524" t="s">
        <v>701</v>
      </c>
      <c r="E47" s="524" t="s">
        <v>212</v>
      </c>
      <c r="F47" s="799">
        <v>411320</v>
      </c>
      <c r="G47" s="799">
        <v>0</v>
      </c>
      <c r="H47" s="799">
        <v>0</v>
      </c>
      <c r="I47" s="799">
        <v>0</v>
      </c>
      <c r="J47" s="799">
        <v>0</v>
      </c>
      <c r="K47" s="799">
        <v>0</v>
      </c>
      <c r="L47" s="799">
        <v>411320</v>
      </c>
      <c r="M47" s="799">
        <v>2952.6954909000001</v>
      </c>
      <c r="N47" s="799">
        <v>6235.6112000000003</v>
      </c>
      <c r="O47" s="800">
        <v>8.2962809999999998E-2</v>
      </c>
      <c r="P47" s="800">
        <v>9.1219924008622361E-2</v>
      </c>
      <c r="Q47" s="800">
        <v>3.4283519999999998E-2</v>
      </c>
    </row>
    <row r="48" spans="1:17" outlineLevel="2">
      <c r="A48" s="524">
        <v>11</v>
      </c>
      <c r="B48" s="524" t="s">
        <v>577</v>
      </c>
      <c r="C48" s="524">
        <v>6</v>
      </c>
      <c r="D48" s="524" t="s">
        <v>701</v>
      </c>
      <c r="E48" s="524" t="s">
        <v>94</v>
      </c>
      <c r="F48" s="799">
        <v>2069048</v>
      </c>
      <c r="G48" s="799">
        <v>0</v>
      </c>
      <c r="H48" s="799">
        <v>0</v>
      </c>
      <c r="I48" s="799">
        <v>0</v>
      </c>
      <c r="J48" s="799">
        <v>0</v>
      </c>
      <c r="K48" s="799">
        <v>0</v>
      </c>
      <c r="L48" s="799">
        <v>2069048</v>
      </c>
      <c r="M48" s="799">
        <v>194177.2625218</v>
      </c>
      <c r="N48" s="799">
        <v>409009.40863999998</v>
      </c>
      <c r="O48" s="800">
        <v>5.4417389299999996</v>
      </c>
      <c r="P48" s="800">
        <v>5.9833440505322661</v>
      </c>
      <c r="Q48" s="800">
        <v>0.14105358000000001</v>
      </c>
    </row>
    <row r="49" spans="1:17" outlineLevel="2">
      <c r="A49" s="524">
        <v>12</v>
      </c>
      <c r="B49" s="709" t="s">
        <v>723</v>
      </c>
      <c r="C49" s="524">
        <v>6</v>
      </c>
      <c r="D49" s="524" t="s">
        <v>701</v>
      </c>
      <c r="E49" s="524" t="s">
        <v>724</v>
      </c>
      <c r="F49" s="799">
        <v>135000</v>
      </c>
      <c r="G49" s="799">
        <v>0</v>
      </c>
      <c r="H49" s="799">
        <v>0</v>
      </c>
      <c r="I49" s="799">
        <v>0</v>
      </c>
      <c r="J49" s="799">
        <v>0</v>
      </c>
      <c r="K49" s="799">
        <v>0</v>
      </c>
      <c r="L49" s="799">
        <v>135000</v>
      </c>
      <c r="M49" s="799">
        <v>4056.8723705000002</v>
      </c>
      <c r="N49" s="799">
        <v>3905.55</v>
      </c>
      <c r="O49" s="800">
        <v>5.1962090000000002E-2</v>
      </c>
      <c r="P49" s="800">
        <v>5.7133769695563288E-2</v>
      </c>
      <c r="Q49" s="800">
        <v>1.2883749999999999E-2</v>
      </c>
    </row>
    <row r="50" spans="1:17" outlineLevel="2">
      <c r="A50" s="524">
        <v>13</v>
      </c>
      <c r="B50" s="524" t="s">
        <v>578</v>
      </c>
      <c r="C50" s="524">
        <v>6</v>
      </c>
      <c r="D50" s="524" t="s">
        <v>701</v>
      </c>
      <c r="E50" s="524" t="s">
        <v>95</v>
      </c>
      <c r="F50" s="799">
        <v>523976</v>
      </c>
      <c r="G50" s="799">
        <v>15000</v>
      </c>
      <c r="H50" s="799">
        <v>0</v>
      </c>
      <c r="I50" s="799">
        <v>0</v>
      </c>
      <c r="J50" s="799">
        <v>0</v>
      </c>
      <c r="K50" s="799">
        <v>0</v>
      </c>
      <c r="L50" s="799">
        <v>538976</v>
      </c>
      <c r="M50" s="799">
        <v>74108.013010199997</v>
      </c>
      <c r="N50" s="799">
        <v>123668.0432</v>
      </c>
      <c r="O50" s="800">
        <v>1.6453636300000001</v>
      </c>
      <c r="P50" s="800">
        <v>1.8091232986108927</v>
      </c>
      <c r="Q50" s="800">
        <v>4.8424179999999997E-2</v>
      </c>
    </row>
    <row r="51" spans="1:17" outlineLevel="2">
      <c r="A51" s="524">
        <v>14</v>
      </c>
      <c r="B51" s="524" t="s">
        <v>317</v>
      </c>
      <c r="C51" s="524">
        <v>6</v>
      </c>
      <c r="D51" s="524" t="s">
        <v>701</v>
      </c>
      <c r="E51" s="524" t="s">
        <v>216</v>
      </c>
      <c r="F51" s="799">
        <v>4575731</v>
      </c>
      <c r="G51" s="799">
        <v>0</v>
      </c>
      <c r="H51" s="799">
        <v>0</v>
      </c>
      <c r="I51" s="799">
        <v>0</v>
      </c>
      <c r="J51" s="799">
        <v>0</v>
      </c>
      <c r="K51" s="799">
        <v>250000</v>
      </c>
      <c r="L51" s="799">
        <v>4325731</v>
      </c>
      <c r="M51" s="799">
        <v>172277.90856790001</v>
      </c>
      <c r="N51" s="799">
        <v>221261.14065000002</v>
      </c>
      <c r="O51" s="800">
        <v>2.94380847</v>
      </c>
      <c r="P51" s="800">
        <v>3.236799695939045</v>
      </c>
      <c r="Q51" s="800">
        <v>0.20332338</v>
      </c>
    </row>
    <row r="52" spans="1:17" outlineLevel="2">
      <c r="A52" s="524">
        <v>15</v>
      </c>
      <c r="B52" s="709" t="s">
        <v>725</v>
      </c>
      <c r="C52" s="767">
        <v>6</v>
      </c>
      <c r="D52" s="709" t="s">
        <v>701</v>
      </c>
      <c r="E52" s="524" t="s">
        <v>218</v>
      </c>
      <c r="F52" s="799">
        <v>280000</v>
      </c>
      <c r="G52" s="799">
        <v>0</v>
      </c>
      <c r="H52" s="799">
        <v>0</v>
      </c>
      <c r="I52" s="799">
        <v>0</v>
      </c>
      <c r="J52" s="799">
        <v>0</v>
      </c>
      <c r="K52" s="799">
        <v>0</v>
      </c>
      <c r="L52" s="799">
        <v>280000</v>
      </c>
      <c r="M52" s="799">
        <v>3451.9635520000002</v>
      </c>
      <c r="N52" s="799">
        <v>3724</v>
      </c>
      <c r="O52" s="800">
        <v>4.954662E-2</v>
      </c>
      <c r="P52" s="800">
        <v>5.4477898976143614E-2</v>
      </c>
      <c r="Q52" s="800">
        <v>2.5397670000000001E-2</v>
      </c>
    </row>
    <row r="53" spans="1:17" outlineLevel="2">
      <c r="A53" s="524">
        <v>16</v>
      </c>
      <c r="B53" s="524" t="s">
        <v>579</v>
      </c>
      <c r="C53" s="524">
        <v>6</v>
      </c>
      <c r="D53" s="524" t="s">
        <v>701</v>
      </c>
      <c r="E53" s="524" t="s">
        <v>220</v>
      </c>
      <c r="F53" s="799">
        <v>1974402</v>
      </c>
      <c r="G53" s="799">
        <v>10000</v>
      </c>
      <c r="H53" s="799">
        <v>0</v>
      </c>
      <c r="I53" s="799">
        <v>0</v>
      </c>
      <c r="J53" s="799">
        <v>0</v>
      </c>
      <c r="K53" s="799">
        <v>0</v>
      </c>
      <c r="L53" s="799">
        <v>1984402</v>
      </c>
      <c r="M53" s="799">
        <v>163806.3983685</v>
      </c>
      <c r="N53" s="799">
        <v>291151.46143999998</v>
      </c>
      <c r="O53" s="800">
        <v>3.8736767599999999</v>
      </c>
      <c r="P53" s="800">
        <v>4.2592158708606043</v>
      </c>
      <c r="Q53" s="800">
        <v>0.16210055000000001</v>
      </c>
    </row>
    <row r="54" spans="1:17" outlineLevel="1">
      <c r="A54" s="524"/>
      <c r="B54" s="524"/>
      <c r="C54" s="524"/>
      <c r="D54" s="808" t="s">
        <v>692</v>
      </c>
      <c r="E54" s="524"/>
      <c r="F54" s="803">
        <v>20634835</v>
      </c>
      <c r="G54" s="803">
        <v>175000</v>
      </c>
      <c r="H54" s="803">
        <v>0</v>
      </c>
      <c r="I54" s="803">
        <v>0</v>
      </c>
      <c r="J54" s="803"/>
      <c r="K54" s="803">
        <v>400000</v>
      </c>
      <c r="L54" s="803">
        <v>20409835</v>
      </c>
      <c r="M54" s="803">
        <v>819754.8071812999</v>
      </c>
      <c r="N54" s="803">
        <v>1389379.5766399999</v>
      </c>
      <c r="O54" s="804">
        <v>18.485249409999998</v>
      </c>
      <c r="P54" s="804">
        <v>20.325048393048093</v>
      </c>
      <c r="Q54" s="801"/>
    </row>
    <row r="55" spans="1:17" outlineLevel="1">
      <c r="A55" s="524"/>
      <c r="B55" s="524"/>
      <c r="C55" s="524"/>
      <c r="D55" s="808"/>
      <c r="E55" s="808" t="s">
        <v>760</v>
      </c>
      <c r="F55" s="805"/>
      <c r="G55" s="805"/>
      <c r="H55" s="805"/>
      <c r="I55" s="805"/>
      <c r="J55" s="805"/>
      <c r="K55" s="805"/>
      <c r="L55" s="805"/>
      <c r="M55" s="805"/>
      <c r="N55" s="805"/>
      <c r="O55" s="801"/>
      <c r="P55" s="801"/>
      <c r="Q55" s="801"/>
    </row>
    <row r="56" spans="1:17" outlineLevel="2">
      <c r="A56" s="524">
        <v>17</v>
      </c>
      <c r="B56" s="524" t="s">
        <v>580</v>
      </c>
      <c r="C56" s="524">
        <v>7</v>
      </c>
      <c r="D56" s="524" t="s">
        <v>760</v>
      </c>
      <c r="E56" s="524" t="s">
        <v>531</v>
      </c>
      <c r="F56" s="799">
        <v>899580</v>
      </c>
      <c r="G56" s="799">
        <v>0</v>
      </c>
      <c r="H56" s="799">
        <v>0</v>
      </c>
      <c r="I56" s="799">
        <v>0</v>
      </c>
      <c r="J56" s="799">
        <v>0</v>
      </c>
      <c r="K56" s="799">
        <v>0</v>
      </c>
      <c r="L56" s="799">
        <v>899580</v>
      </c>
      <c r="M56" s="799">
        <v>14787.808250499998</v>
      </c>
      <c r="N56" s="799">
        <v>46841.130600000004</v>
      </c>
      <c r="O56" s="800">
        <v>0.62320620999999998</v>
      </c>
      <c r="P56" s="800">
        <v>0.6852326478934343</v>
      </c>
      <c r="Q56" s="800">
        <v>0.72720070999999997</v>
      </c>
    </row>
    <row r="57" spans="1:17" outlineLevel="1">
      <c r="A57" s="524"/>
      <c r="B57" s="524"/>
      <c r="C57" s="524"/>
      <c r="D57" s="808" t="s">
        <v>726</v>
      </c>
      <c r="E57" s="524"/>
      <c r="F57" s="803">
        <v>899580</v>
      </c>
      <c r="G57" s="803">
        <v>0</v>
      </c>
      <c r="H57" s="803">
        <v>0</v>
      </c>
      <c r="I57" s="803">
        <v>0</v>
      </c>
      <c r="J57" s="803"/>
      <c r="K57" s="803">
        <v>0</v>
      </c>
      <c r="L57" s="803">
        <v>899580</v>
      </c>
      <c r="M57" s="803">
        <v>14787.808250499998</v>
      </c>
      <c r="N57" s="803">
        <v>46841.130600000004</v>
      </c>
      <c r="O57" s="804">
        <v>0.62320620999999998</v>
      </c>
      <c r="P57" s="804">
        <v>0.6852326478934343</v>
      </c>
      <c r="Q57" s="801"/>
    </row>
    <row r="58" spans="1:17" outlineLevel="1">
      <c r="A58" s="524"/>
      <c r="B58" s="524"/>
      <c r="C58" s="524"/>
      <c r="D58" s="808"/>
      <c r="E58" s="808" t="s">
        <v>761</v>
      </c>
      <c r="F58" s="805"/>
      <c r="G58" s="805"/>
      <c r="H58" s="805"/>
      <c r="I58" s="805"/>
      <c r="J58" s="805"/>
      <c r="K58" s="805"/>
      <c r="L58" s="805"/>
      <c r="M58" s="805"/>
      <c r="N58" s="805"/>
      <c r="O58" s="801"/>
      <c r="P58" s="801"/>
      <c r="Q58" s="801"/>
    </row>
    <row r="59" spans="1:17" outlineLevel="2">
      <c r="A59" s="524">
        <v>18</v>
      </c>
      <c r="B59" s="524" t="s">
        <v>566</v>
      </c>
      <c r="C59" s="524">
        <v>8</v>
      </c>
      <c r="D59" s="524" t="s">
        <v>761</v>
      </c>
      <c r="E59" s="524" t="s">
        <v>450</v>
      </c>
      <c r="F59" s="799">
        <v>1031621</v>
      </c>
      <c r="G59" s="799">
        <v>0</v>
      </c>
      <c r="H59" s="799">
        <v>0</v>
      </c>
      <c r="I59" s="799">
        <v>0</v>
      </c>
      <c r="J59" s="799">
        <v>0</v>
      </c>
      <c r="K59" s="799">
        <v>642500</v>
      </c>
      <c r="L59" s="799">
        <v>389121</v>
      </c>
      <c r="M59" s="799">
        <v>466.94523290000001</v>
      </c>
      <c r="N59" s="799">
        <v>859.95740999999998</v>
      </c>
      <c r="O59" s="800">
        <v>1.1441460000000001E-2</v>
      </c>
      <c r="P59" s="800">
        <v>1.2580202176628924E-2</v>
      </c>
      <c r="Q59" s="800">
        <v>0.14999069000000001</v>
      </c>
    </row>
    <row r="60" spans="1:17" outlineLevel="1">
      <c r="A60" s="524"/>
      <c r="B60" s="524"/>
      <c r="C60" s="524"/>
      <c r="D60" s="808" t="s">
        <v>727</v>
      </c>
      <c r="E60" s="524"/>
      <c r="F60" s="803">
        <v>1031621</v>
      </c>
      <c r="G60" s="803">
        <v>0</v>
      </c>
      <c r="H60" s="803">
        <v>0</v>
      </c>
      <c r="I60" s="803">
        <v>0</v>
      </c>
      <c r="J60" s="803"/>
      <c r="K60" s="803">
        <v>642500</v>
      </c>
      <c r="L60" s="803">
        <v>389121</v>
      </c>
      <c r="M60" s="803">
        <v>466.94523290000001</v>
      </c>
      <c r="N60" s="803">
        <v>859.95740999999998</v>
      </c>
      <c r="O60" s="804">
        <v>1.1441460000000001E-2</v>
      </c>
      <c r="P60" s="804">
        <v>1.2580202176628924E-2</v>
      </c>
      <c r="Q60" s="801"/>
    </row>
    <row r="61" spans="1:17" outlineLevel="1">
      <c r="A61" s="524"/>
      <c r="B61" s="524"/>
      <c r="C61" s="524"/>
      <c r="D61" s="808"/>
      <c r="E61" s="808" t="s">
        <v>762</v>
      </c>
      <c r="F61" s="805"/>
      <c r="G61" s="805"/>
      <c r="H61" s="805"/>
      <c r="I61" s="805"/>
      <c r="J61" s="805"/>
      <c r="K61" s="805"/>
      <c r="L61" s="805"/>
      <c r="M61" s="805"/>
      <c r="N61" s="805"/>
      <c r="O61" s="801"/>
      <c r="P61" s="801"/>
      <c r="Q61" s="801"/>
    </row>
    <row r="62" spans="1:17" outlineLevel="2">
      <c r="A62" s="524">
        <v>19</v>
      </c>
      <c r="B62" s="806" t="s">
        <v>567</v>
      </c>
      <c r="C62" s="524">
        <v>10</v>
      </c>
      <c r="D62" s="524" t="s">
        <v>762</v>
      </c>
      <c r="E62" s="524" t="s">
        <v>526</v>
      </c>
      <c r="F62" s="799">
        <v>1489258</v>
      </c>
      <c r="G62" s="799">
        <v>0</v>
      </c>
      <c r="H62" s="799">
        <v>0</v>
      </c>
      <c r="I62" s="799">
        <v>0</v>
      </c>
      <c r="J62" s="799">
        <v>0</v>
      </c>
      <c r="K62" s="799">
        <v>50000</v>
      </c>
      <c r="L62" s="799">
        <v>1439258</v>
      </c>
      <c r="M62" s="799">
        <v>49118.375835300001</v>
      </c>
      <c r="N62" s="799">
        <v>55339.470099999999</v>
      </c>
      <c r="O62" s="800">
        <v>0.73627388999999999</v>
      </c>
      <c r="P62" s="800">
        <v>0.80955372220760469</v>
      </c>
      <c r="Q62" s="800">
        <v>0.71896539000000004</v>
      </c>
    </row>
    <row r="63" spans="1:17" outlineLevel="2">
      <c r="A63" s="524">
        <v>20</v>
      </c>
      <c r="B63" s="524" t="s">
        <v>568</v>
      </c>
      <c r="C63" s="524">
        <v>10</v>
      </c>
      <c r="D63" s="524" t="s">
        <v>762</v>
      </c>
      <c r="E63" s="524" t="s">
        <v>227</v>
      </c>
      <c r="F63" s="799">
        <v>2417841</v>
      </c>
      <c r="G63" s="799">
        <v>0</v>
      </c>
      <c r="H63" s="799">
        <v>0</v>
      </c>
      <c r="I63" s="799">
        <v>0</v>
      </c>
      <c r="J63" s="799">
        <v>0</v>
      </c>
      <c r="K63" s="799">
        <v>0</v>
      </c>
      <c r="L63" s="799">
        <v>2417841</v>
      </c>
      <c r="M63" s="799">
        <v>121469.8313877</v>
      </c>
      <c r="N63" s="799">
        <v>240067.43289</v>
      </c>
      <c r="O63" s="800">
        <v>3.19402016</v>
      </c>
      <c r="P63" s="800">
        <v>3.5119144351352194</v>
      </c>
      <c r="Q63" s="800">
        <v>0.68766848000000003</v>
      </c>
    </row>
    <row r="64" spans="1:17" outlineLevel="1">
      <c r="A64" s="524"/>
      <c r="B64" s="524"/>
      <c r="C64" s="524"/>
      <c r="D64" s="808" t="s">
        <v>728</v>
      </c>
      <c r="E64" s="524"/>
      <c r="F64" s="803">
        <v>3907099</v>
      </c>
      <c r="G64" s="803">
        <v>0</v>
      </c>
      <c r="H64" s="803">
        <v>0</v>
      </c>
      <c r="I64" s="803">
        <v>0</v>
      </c>
      <c r="J64" s="803"/>
      <c r="K64" s="803">
        <v>50000</v>
      </c>
      <c r="L64" s="803">
        <v>3857099</v>
      </c>
      <c r="M64" s="803">
        <v>170588.207223</v>
      </c>
      <c r="N64" s="803">
        <v>295406.90298999997</v>
      </c>
      <c r="O64" s="804">
        <v>3.9302940500000001</v>
      </c>
      <c r="P64" s="804">
        <v>4.3214681573428244</v>
      </c>
      <c r="Q64" s="801"/>
    </row>
  </sheetData>
  <pageMargins left="0.7" right="0.7" top="0.75" bottom="0.75" header="0.3" footer="0.3"/>
  <pageSetup scale="58" orientation="portrait" r:id="rId1"/>
  <headerFooter>
    <oddFooter>&amp;C8 of 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W137"/>
  <sheetViews>
    <sheetView view="pageBreakPreview" topLeftCell="E5" zoomScale="80" zoomScaleNormal="100" zoomScaleSheetLayoutView="80" workbookViewId="0">
      <selection activeCell="E137" sqref="A137:XFD196"/>
    </sheetView>
  </sheetViews>
  <sheetFormatPr defaultRowHeight="15.75" outlineLevelRow="2"/>
  <cols>
    <col min="1" max="1" width="4.125" style="767" hidden="1" customWidth="1"/>
    <col min="2" max="2" width="31.125" style="767" hidden="1" customWidth="1"/>
    <col min="3" max="3" width="5.875" style="767" hidden="1" customWidth="1"/>
    <col min="4" max="4" width="37.625" style="767" hidden="1" customWidth="1"/>
    <col min="5" max="5" width="32.25" style="767" customWidth="1"/>
    <col min="6" max="6" width="11.25" style="767" customWidth="1"/>
    <col min="7" max="8" width="10.25" style="767" customWidth="1"/>
    <col min="9" max="9" width="10.5" style="767" customWidth="1"/>
    <col min="10" max="10" width="10" style="767" hidden="1" customWidth="1"/>
    <col min="11" max="11" width="11.125" style="767" customWidth="1"/>
    <col min="12" max="12" width="11.75" style="767" customWidth="1"/>
    <col min="13" max="13" width="10.75" style="32" customWidth="1"/>
    <col min="14" max="14" width="11.375" style="32" customWidth="1"/>
    <col min="15" max="15" width="10" style="631" customWidth="1"/>
    <col min="16" max="16" width="11.875" style="631" customWidth="1"/>
    <col min="17" max="17" width="9.5" style="767" customWidth="1"/>
    <col min="18" max="18" width="0.75" style="767" customWidth="1"/>
    <col min="19" max="19" width="12" style="32" hidden="1" customWidth="1"/>
    <col min="20" max="20" width="0.75" style="767" hidden="1" customWidth="1"/>
    <col min="21" max="21" width="8" style="767" hidden="1" customWidth="1"/>
    <col min="22" max="22" width="0.875" style="767" hidden="1" customWidth="1"/>
    <col min="23" max="23" width="19" style="767" hidden="1" customWidth="1"/>
    <col min="24" max="16384" width="9" style="767"/>
  </cols>
  <sheetData>
    <row r="1" spans="1:23" ht="18.75" hidden="1">
      <c r="B1" s="699"/>
      <c r="C1" s="699"/>
      <c r="D1" s="699"/>
      <c r="E1" s="699" t="s">
        <v>187</v>
      </c>
      <c r="F1" s="772"/>
      <c r="G1" s="772"/>
      <c r="H1" s="772"/>
      <c r="I1" s="772"/>
      <c r="J1" s="772"/>
      <c r="K1" s="772"/>
      <c r="L1" s="772"/>
      <c r="M1" s="772"/>
      <c r="N1" s="772"/>
      <c r="O1" s="774"/>
      <c r="P1" s="774"/>
      <c r="Q1" s="775" t="s">
        <v>708</v>
      </c>
    </row>
    <row r="2" spans="1:23" ht="18.75" hidden="1">
      <c r="B2" s="699"/>
      <c r="C2" s="699"/>
      <c r="D2" s="699"/>
      <c r="E2" s="776" t="s">
        <v>697</v>
      </c>
      <c r="F2" s="700"/>
      <c r="G2" s="700"/>
      <c r="H2" s="700"/>
      <c r="I2" s="700"/>
      <c r="J2" s="700"/>
      <c r="K2" s="700"/>
      <c r="L2" s="700"/>
      <c r="M2" s="700"/>
      <c r="N2" s="700"/>
      <c r="O2" s="701"/>
      <c r="P2" s="701"/>
      <c r="Q2" s="702"/>
      <c r="R2" s="702"/>
    </row>
    <row r="3" spans="1:23" ht="18.75" hidden="1">
      <c r="B3" s="699"/>
      <c r="C3" s="699"/>
      <c r="D3" s="699"/>
      <c r="E3" s="776" t="s">
        <v>709</v>
      </c>
      <c r="F3" s="793"/>
      <c r="G3" s="793"/>
      <c r="H3" s="793"/>
      <c r="I3" s="793"/>
      <c r="J3" s="793"/>
      <c r="K3" s="793"/>
      <c r="L3" s="793"/>
      <c r="M3" s="793"/>
      <c r="N3" s="793"/>
      <c r="O3" s="773"/>
      <c r="P3" s="794"/>
      <c r="R3" s="702"/>
    </row>
    <row r="4" spans="1:23" hidden="1">
      <c r="B4" s="701"/>
      <c r="C4" s="701"/>
      <c r="D4" s="701"/>
      <c r="E4" s="795"/>
      <c r="F4" s="700"/>
      <c r="G4" s="700"/>
      <c r="H4" s="700"/>
      <c r="I4" s="700"/>
      <c r="J4" s="700"/>
      <c r="K4" s="700"/>
      <c r="L4" s="700"/>
      <c r="M4" s="700"/>
      <c r="N4" s="700"/>
      <c r="O4" s="701"/>
      <c r="P4" s="701"/>
      <c r="Q4" s="702"/>
      <c r="R4" s="702"/>
    </row>
    <row r="5" spans="1:23">
      <c r="B5" s="701"/>
      <c r="C5" s="701"/>
      <c r="D5" s="701"/>
      <c r="E5" s="795"/>
      <c r="F5" s="700"/>
      <c r="G5" s="700"/>
      <c r="H5" s="700"/>
      <c r="I5" s="700"/>
      <c r="J5" s="700"/>
      <c r="K5" s="700"/>
      <c r="L5" s="700"/>
      <c r="M5" s="700"/>
      <c r="N5" s="700"/>
      <c r="O5" s="701"/>
      <c r="P5" s="701"/>
      <c r="Q5" s="702"/>
      <c r="R5" s="702"/>
    </row>
    <row r="6" spans="1:23" ht="77.25" customHeight="1">
      <c r="A6" s="780" t="s">
        <v>533</v>
      </c>
      <c r="B6" s="780" t="s">
        <v>534</v>
      </c>
      <c r="C6" s="780" t="s">
        <v>710</v>
      </c>
      <c r="D6" s="780" t="s">
        <v>535</v>
      </c>
      <c r="E6" s="780" t="s">
        <v>683</v>
      </c>
      <c r="F6" s="781" t="s">
        <v>684</v>
      </c>
      <c r="G6" s="782" t="s">
        <v>272</v>
      </c>
      <c r="H6" s="782" t="s">
        <v>685</v>
      </c>
      <c r="I6" s="782" t="s">
        <v>686</v>
      </c>
      <c r="J6" s="796" t="s">
        <v>292</v>
      </c>
      <c r="K6" s="782" t="s">
        <v>536</v>
      </c>
      <c r="L6" s="782" t="s">
        <v>698</v>
      </c>
      <c r="M6" s="782" t="s">
        <v>699</v>
      </c>
      <c r="N6" s="782" t="s">
        <v>700</v>
      </c>
      <c r="O6" s="784" t="s">
        <v>799</v>
      </c>
      <c r="P6" s="784" t="s">
        <v>687</v>
      </c>
      <c r="Q6" s="785" t="s">
        <v>688</v>
      </c>
      <c r="S6" s="877" t="s">
        <v>711</v>
      </c>
      <c r="U6" s="879" t="s">
        <v>712</v>
      </c>
      <c r="W6" s="879" t="s">
        <v>713</v>
      </c>
    </row>
    <row r="7" spans="1:23" outlineLevel="1">
      <c r="A7" s="786"/>
      <c r="B7" s="786"/>
      <c r="C7" s="786"/>
      <c r="D7" s="786"/>
      <c r="E7" s="786"/>
      <c r="F7" s="787" t="s">
        <v>714</v>
      </c>
      <c r="G7" s="788"/>
      <c r="H7" s="788"/>
      <c r="I7" s="788"/>
      <c r="J7" s="788"/>
      <c r="K7" s="788"/>
      <c r="L7" s="788"/>
      <c r="M7" s="787" t="s">
        <v>715</v>
      </c>
      <c r="N7" s="788"/>
      <c r="O7" s="787" t="s">
        <v>716</v>
      </c>
      <c r="P7" s="789"/>
      <c r="Q7" s="789"/>
      <c r="S7" s="878"/>
      <c r="U7" s="880"/>
      <c r="W7" s="880"/>
    </row>
    <row r="8" spans="1:23" hidden="1" outlineLevel="1">
      <c r="A8" s="786"/>
      <c r="B8" s="786"/>
      <c r="C8" s="786"/>
      <c r="D8" s="786"/>
      <c r="E8" s="786" t="s">
        <v>758</v>
      </c>
      <c r="F8" s="787"/>
      <c r="G8" s="788"/>
      <c r="H8" s="788"/>
      <c r="I8" s="788"/>
      <c r="J8" s="788"/>
      <c r="K8" s="788"/>
      <c r="L8" s="788"/>
      <c r="M8" s="787"/>
      <c r="N8" s="788"/>
      <c r="O8" s="787"/>
      <c r="P8" s="789"/>
      <c r="Q8" s="789"/>
      <c r="S8" s="797"/>
      <c r="U8" s="798"/>
      <c r="W8" s="798"/>
    </row>
    <row r="9" spans="1:23" hidden="1" outlineLevel="2">
      <c r="A9" s="524">
        <v>1</v>
      </c>
      <c r="B9" s="524" t="s">
        <v>583</v>
      </c>
      <c r="C9" s="524">
        <v>4</v>
      </c>
      <c r="D9" s="524" t="s">
        <v>758</v>
      </c>
      <c r="E9" s="524" t="s">
        <v>479</v>
      </c>
      <c r="F9" s="799">
        <v>250000</v>
      </c>
      <c r="G9" s="799">
        <v>0</v>
      </c>
      <c r="H9" s="799">
        <v>0</v>
      </c>
      <c r="I9" s="799">
        <v>0</v>
      </c>
      <c r="J9" s="799">
        <v>0</v>
      </c>
      <c r="K9" s="799">
        <v>0</v>
      </c>
      <c r="L9" s="799">
        <v>250000</v>
      </c>
      <c r="M9" s="799">
        <v>950</v>
      </c>
      <c r="N9" s="799">
        <v>2057.5</v>
      </c>
      <c r="O9" s="800">
        <v>2.737438E-2</v>
      </c>
      <c r="P9" s="800">
        <v>3.0098892895653998E-2</v>
      </c>
      <c r="Q9" s="800">
        <v>1.25</v>
      </c>
      <c r="R9" s="801"/>
      <c r="S9" s="799">
        <v>0</v>
      </c>
      <c r="T9" s="524"/>
      <c r="U9" s="800">
        <v>0</v>
      </c>
      <c r="V9" s="524"/>
      <c r="W9" s="524"/>
    </row>
    <row r="10" spans="1:23" hidden="1" outlineLevel="1">
      <c r="A10" s="524"/>
      <c r="B10" s="524"/>
      <c r="C10" s="524"/>
      <c r="D10" s="802" t="s">
        <v>717</v>
      </c>
      <c r="E10" s="524"/>
      <c r="F10" s="803">
        <v>250000</v>
      </c>
      <c r="G10" s="803">
        <v>0</v>
      </c>
      <c r="H10" s="803">
        <v>0</v>
      </c>
      <c r="I10" s="803">
        <v>0</v>
      </c>
      <c r="J10" s="803"/>
      <c r="K10" s="803">
        <v>0</v>
      </c>
      <c r="L10" s="803">
        <v>250000</v>
      </c>
      <c r="M10" s="803">
        <v>950</v>
      </c>
      <c r="N10" s="803">
        <v>2057.5</v>
      </c>
      <c r="O10" s="804">
        <v>2.737438E-2</v>
      </c>
      <c r="P10" s="804">
        <v>3.0098892895653998E-2</v>
      </c>
      <c r="Q10" s="801"/>
      <c r="R10" s="801"/>
      <c r="S10" s="799"/>
      <c r="T10" s="524"/>
      <c r="U10" s="800"/>
      <c r="V10" s="524"/>
      <c r="W10" s="524"/>
    </row>
    <row r="11" spans="1:23" hidden="1" outlineLevel="1">
      <c r="A11" s="524"/>
      <c r="B11" s="524"/>
      <c r="C11" s="524"/>
      <c r="D11" s="802"/>
      <c r="E11" s="786" t="s">
        <v>759</v>
      </c>
      <c r="F11" s="805"/>
      <c r="G11" s="805"/>
      <c r="H11" s="805"/>
      <c r="I11" s="805"/>
      <c r="J11" s="805"/>
      <c r="K11" s="805"/>
      <c r="L11" s="805"/>
      <c r="M11" s="805"/>
      <c r="N11" s="805"/>
      <c r="O11" s="801"/>
      <c r="P11" s="801"/>
      <c r="Q11" s="801"/>
      <c r="R11" s="801"/>
      <c r="S11" s="799"/>
      <c r="T11" s="524"/>
      <c r="U11" s="800"/>
      <c r="V11" s="524"/>
      <c r="W11" s="524"/>
    </row>
    <row r="12" spans="1:23" hidden="1" outlineLevel="2">
      <c r="A12" s="524">
        <v>2</v>
      </c>
      <c r="B12" s="806" t="s">
        <v>581</v>
      </c>
      <c r="C12" s="524">
        <v>5</v>
      </c>
      <c r="D12" s="524" t="s">
        <v>759</v>
      </c>
      <c r="E12" s="807" t="s">
        <v>532</v>
      </c>
      <c r="F12" s="799">
        <v>700000</v>
      </c>
      <c r="G12" s="799">
        <v>0</v>
      </c>
      <c r="H12" s="799">
        <v>0</v>
      </c>
      <c r="I12" s="799">
        <v>0</v>
      </c>
      <c r="J12" s="799">
        <v>0</v>
      </c>
      <c r="K12" s="799">
        <v>0</v>
      </c>
      <c r="L12" s="799">
        <v>700000</v>
      </c>
      <c r="M12" s="799">
        <v>5833.9042724999999</v>
      </c>
      <c r="N12" s="799">
        <v>12572</v>
      </c>
      <c r="O12" s="800">
        <v>0.16726642999999999</v>
      </c>
      <c r="P12" s="800">
        <v>0.183914110077357</v>
      </c>
      <c r="Q12" s="800">
        <v>9.1708830000000005E-2</v>
      </c>
      <c r="R12" s="800"/>
      <c r="S12" s="799">
        <v>0</v>
      </c>
      <c r="T12" s="524"/>
      <c r="U12" s="800">
        <v>0</v>
      </c>
      <c r="V12" s="524"/>
      <c r="W12" s="524"/>
    </row>
    <row r="13" spans="1:23" hidden="1" outlineLevel="2">
      <c r="A13" s="524">
        <v>3</v>
      </c>
      <c r="B13" s="709" t="s">
        <v>718</v>
      </c>
      <c r="C13" s="524"/>
      <c r="D13" s="524"/>
      <c r="E13" s="807" t="s">
        <v>719</v>
      </c>
      <c r="F13" s="799">
        <v>0</v>
      </c>
      <c r="G13" s="799">
        <v>0</v>
      </c>
      <c r="H13" s="799">
        <v>0</v>
      </c>
      <c r="I13" s="799">
        <v>140000</v>
      </c>
      <c r="J13" s="799">
        <v>0</v>
      </c>
      <c r="K13" s="799">
        <v>0</v>
      </c>
      <c r="L13" s="799">
        <v>140000</v>
      </c>
      <c r="M13" s="799">
        <v>0</v>
      </c>
      <c r="N13" s="799">
        <v>1117.2</v>
      </c>
      <c r="O13" s="800">
        <v>1.4863990000000001E-2</v>
      </c>
      <c r="P13" s="800">
        <v>1.6343369692843085E-2</v>
      </c>
      <c r="Q13" s="800">
        <v>140</v>
      </c>
      <c r="R13" s="800"/>
      <c r="S13" s="799"/>
      <c r="T13" s="524"/>
      <c r="U13" s="800"/>
      <c r="V13" s="524"/>
      <c r="W13" s="524"/>
    </row>
    <row r="14" spans="1:23" hidden="1" outlineLevel="2">
      <c r="A14" s="524">
        <v>4</v>
      </c>
      <c r="B14" s="806" t="s">
        <v>582</v>
      </c>
      <c r="C14" s="524">
        <v>5</v>
      </c>
      <c r="D14" s="524" t="s">
        <v>759</v>
      </c>
      <c r="E14" s="807" t="s">
        <v>720</v>
      </c>
      <c r="F14" s="799">
        <v>900000</v>
      </c>
      <c r="G14" s="799">
        <v>0</v>
      </c>
      <c r="H14" s="799">
        <v>0</v>
      </c>
      <c r="I14" s="799">
        <v>0</v>
      </c>
      <c r="J14" s="799">
        <v>0</v>
      </c>
      <c r="K14" s="799">
        <v>0</v>
      </c>
      <c r="L14" s="799">
        <v>900000</v>
      </c>
      <c r="M14" s="799">
        <v>15171.221751000001</v>
      </c>
      <c r="N14" s="799">
        <v>26550</v>
      </c>
      <c r="O14" s="800">
        <v>0.35323923000000002</v>
      </c>
      <c r="P14" s="800">
        <v>0.38839640650284984</v>
      </c>
      <c r="Q14" s="800">
        <v>1.25</v>
      </c>
      <c r="R14" s="800"/>
      <c r="S14" s="799">
        <v>0</v>
      </c>
      <c r="T14" s="524"/>
      <c r="U14" s="800">
        <v>0</v>
      </c>
      <c r="V14" s="524"/>
      <c r="W14" s="524"/>
    </row>
    <row r="15" spans="1:23" hidden="1" outlineLevel="1">
      <c r="A15" s="524"/>
      <c r="B15" s="806"/>
      <c r="C15" s="524"/>
      <c r="D15" s="808" t="s">
        <v>721</v>
      </c>
      <c r="E15" s="807"/>
      <c r="F15" s="803">
        <v>1600000</v>
      </c>
      <c r="G15" s="803">
        <v>0</v>
      </c>
      <c r="H15" s="803">
        <v>0</v>
      </c>
      <c r="I15" s="803">
        <v>140000</v>
      </c>
      <c r="J15" s="803"/>
      <c r="K15" s="803">
        <v>0</v>
      </c>
      <c r="L15" s="803">
        <v>1740000</v>
      </c>
      <c r="M15" s="803">
        <v>21005.126023500001</v>
      </c>
      <c r="N15" s="803">
        <v>40239.199999999997</v>
      </c>
      <c r="O15" s="804">
        <v>0.53536965000000003</v>
      </c>
      <c r="P15" s="804">
        <v>0.58865388627304993</v>
      </c>
      <c r="Q15" s="801"/>
      <c r="R15" s="801"/>
      <c r="S15" s="799"/>
      <c r="T15" s="524"/>
      <c r="U15" s="800"/>
      <c r="V15" s="524"/>
      <c r="W15" s="524"/>
    </row>
    <row r="16" spans="1:23" hidden="1" outlineLevel="1">
      <c r="A16" s="524"/>
      <c r="B16" s="806"/>
      <c r="C16" s="524"/>
      <c r="D16" s="808"/>
      <c r="E16" s="786" t="s">
        <v>701</v>
      </c>
      <c r="F16" s="805"/>
      <c r="G16" s="805"/>
      <c r="H16" s="805"/>
      <c r="I16" s="805"/>
      <c r="J16" s="805"/>
      <c r="K16" s="805"/>
      <c r="L16" s="805"/>
      <c r="M16" s="805"/>
      <c r="N16" s="805"/>
      <c r="O16" s="801"/>
      <c r="P16" s="801"/>
      <c r="Q16" s="801"/>
      <c r="R16" s="801"/>
      <c r="S16" s="799"/>
      <c r="T16" s="524"/>
      <c r="U16" s="800"/>
      <c r="V16" s="524"/>
      <c r="W16" s="524"/>
    </row>
    <row r="17" spans="1:23" hidden="1" outlineLevel="2">
      <c r="A17" s="524">
        <v>5</v>
      </c>
      <c r="B17" s="806" t="s">
        <v>307</v>
      </c>
      <c r="C17" s="524">
        <v>6</v>
      </c>
      <c r="D17" s="524" t="s">
        <v>701</v>
      </c>
      <c r="E17" s="524" t="s">
        <v>207</v>
      </c>
      <c r="F17" s="799">
        <v>1058314</v>
      </c>
      <c r="G17" s="799">
        <v>0</v>
      </c>
      <c r="H17" s="799">
        <v>0</v>
      </c>
      <c r="I17" s="799">
        <v>0</v>
      </c>
      <c r="J17" s="799">
        <v>0</v>
      </c>
      <c r="K17" s="799">
        <v>0</v>
      </c>
      <c r="L17" s="799">
        <v>1058314</v>
      </c>
      <c r="M17" s="799">
        <v>93372.089125499988</v>
      </c>
      <c r="N17" s="799">
        <v>98423.202000000005</v>
      </c>
      <c r="O17" s="800">
        <v>1.3094891200000001</v>
      </c>
      <c r="P17" s="800">
        <v>1.4398198860001548</v>
      </c>
      <c r="Q17" s="800">
        <v>9.2423210000000006E-2</v>
      </c>
      <c r="R17" s="800"/>
      <c r="S17" s="799">
        <v>0</v>
      </c>
      <c r="T17" s="524"/>
      <c r="U17" s="800">
        <v>0</v>
      </c>
      <c r="V17" s="524"/>
      <c r="W17" s="524" t="s">
        <v>722</v>
      </c>
    </row>
    <row r="18" spans="1:23" hidden="1" outlineLevel="2">
      <c r="A18" s="524">
        <v>6</v>
      </c>
      <c r="B18" s="524" t="s">
        <v>574</v>
      </c>
      <c r="C18" s="524">
        <v>6</v>
      </c>
      <c r="D18" s="524" t="s">
        <v>701</v>
      </c>
      <c r="E18" s="524" t="s">
        <v>208</v>
      </c>
      <c r="F18" s="799">
        <v>3999442</v>
      </c>
      <c r="G18" s="799">
        <v>0</v>
      </c>
      <c r="H18" s="799">
        <v>0</v>
      </c>
      <c r="I18" s="799">
        <v>0</v>
      </c>
      <c r="J18" s="799">
        <v>0</v>
      </c>
      <c r="K18" s="799">
        <v>0</v>
      </c>
      <c r="L18" s="799">
        <v>3999442</v>
      </c>
      <c r="M18" s="799">
        <v>44077.4597393</v>
      </c>
      <c r="N18" s="799">
        <v>87227.830019999994</v>
      </c>
      <c r="O18" s="800">
        <v>1.1605382900000001</v>
      </c>
      <c r="P18" s="800">
        <v>1.2760442834956462</v>
      </c>
      <c r="Q18" s="800">
        <v>0.31735052000000002</v>
      </c>
      <c r="R18" s="800"/>
      <c r="S18" s="799">
        <v>0</v>
      </c>
      <c r="T18" s="524"/>
      <c r="U18" s="800">
        <v>0</v>
      </c>
      <c r="V18" s="524"/>
      <c r="W18" s="809"/>
    </row>
    <row r="19" spans="1:23" hidden="1" outlineLevel="2">
      <c r="A19" s="524">
        <v>7</v>
      </c>
      <c r="B19" s="524" t="s">
        <v>309</v>
      </c>
      <c r="C19" s="524">
        <v>6</v>
      </c>
      <c r="D19" s="524" t="s">
        <v>701</v>
      </c>
      <c r="E19" s="524" t="s">
        <v>476</v>
      </c>
      <c r="F19" s="799">
        <v>5359113</v>
      </c>
      <c r="G19" s="799">
        <v>0</v>
      </c>
      <c r="H19" s="799">
        <v>0</v>
      </c>
      <c r="I19" s="799">
        <v>0</v>
      </c>
      <c r="J19" s="799">
        <v>0</v>
      </c>
      <c r="K19" s="799">
        <v>50000</v>
      </c>
      <c r="L19" s="799">
        <v>5309113</v>
      </c>
      <c r="M19" s="799">
        <v>55713.131098700003</v>
      </c>
      <c r="N19" s="799">
        <v>132356.18708999999</v>
      </c>
      <c r="O19" s="800">
        <v>1.7609566000000001</v>
      </c>
      <c r="P19" s="800">
        <v>1.9362209960141201</v>
      </c>
      <c r="Q19" s="800">
        <v>0.39351355999999998</v>
      </c>
      <c r="R19" s="801"/>
      <c r="S19" s="799">
        <v>0</v>
      </c>
      <c r="T19" s="524"/>
      <c r="U19" s="800">
        <v>0</v>
      </c>
      <c r="V19" s="524"/>
      <c r="W19" s="809"/>
    </row>
    <row r="20" spans="1:23" hidden="1" outlineLevel="2">
      <c r="A20" s="524">
        <v>8</v>
      </c>
      <c r="B20" s="524" t="s">
        <v>576</v>
      </c>
      <c r="C20" s="524">
        <v>6</v>
      </c>
      <c r="D20" s="524" t="s">
        <v>701</v>
      </c>
      <c r="E20" s="524" t="s">
        <v>478</v>
      </c>
      <c r="F20" s="799">
        <v>148489</v>
      </c>
      <c r="G20" s="799">
        <v>150000</v>
      </c>
      <c r="H20" s="799">
        <v>0</v>
      </c>
      <c r="I20" s="799">
        <v>0</v>
      </c>
      <c r="J20" s="799">
        <v>0</v>
      </c>
      <c r="K20" s="799">
        <v>0</v>
      </c>
      <c r="L20" s="799">
        <v>298489</v>
      </c>
      <c r="M20" s="799">
        <v>11761.013336</v>
      </c>
      <c r="N20" s="799">
        <v>12417.142400000001</v>
      </c>
      <c r="O20" s="800">
        <v>0.16520609</v>
      </c>
      <c r="P20" s="800">
        <v>0.18164871891503476</v>
      </c>
      <c r="Q20" s="800">
        <v>2.6856410000000001E-2</v>
      </c>
      <c r="R20" s="800"/>
      <c r="S20" s="799">
        <v>0</v>
      </c>
      <c r="T20" s="524"/>
      <c r="U20" s="800">
        <v>0</v>
      </c>
      <c r="V20" s="524"/>
      <c r="W20" s="524"/>
    </row>
    <row r="21" spans="1:23" hidden="1" outlineLevel="2">
      <c r="A21" s="524">
        <v>9</v>
      </c>
      <c r="B21" s="806" t="s">
        <v>575</v>
      </c>
      <c r="C21" s="524">
        <v>6</v>
      </c>
      <c r="D21" s="524" t="s">
        <v>701</v>
      </c>
      <c r="E21" s="524" t="s">
        <v>477</v>
      </c>
      <c r="F21" s="799">
        <v>100000</v>
      </c>
      <c r="G21" s="799">
        <v>0</v>
      </c>
      <c r="H21" s="799">
        <v>0</v>
      </c>
      <c r="I21" s="799">
        <v>0</v>
      </c>
      <c r="J21" s="799">
        <v>0</v>
      </c>
      <c r="K21" s="799">
        <v>100000</v>
      </c>
      <c r="L21" s="799">
        <v>0</v>
      </c>
      <c r="M21" s="799">
        <v>0</v>
      </c>
      <c r="N21" s="799">
        <v>0</v>
      </c>
      <c r="O21" s="800">
        <v>0</v>
      </c>
      <c r="P21" s="800">
        <v>0</v>
      </c>
      <c r="Q21" s="800">
        <v>0</v>
      </c>
      <c r="R21" s="800"/>
      <c r="S21" s="799">
        <v>0</v>
      </c>
      <c r="T21" s="524"/>
      <c r="U21" s="800" t="e">
        <v>#DIV/0!</v>
      </c>
      <c r="V21" s="524"/>
      <c r="W21" s="524"/>
    </row>
    <row r="22" spans="1:23" hidden="1" outlineLevel="2">
      <c r="A22" s="524">
        <v>10</v>
      </c>
      <c r="B22" s="524" t="s">
        <v>313</v>
      </c>
      <c r="C22" s="524">
        <v>6</v>
      </c>
      <c r="D22" s="524" t="s">
        <v>701</v>
      </c>
      <c r="E22" s="524" t="s">
        <v>212</v>
      </c>
      <c r="F22" s="799">
        <v>411320</v>
      </c>
      <c r="G22" s="799">
        <v>0</v>
      </c>
      <c r="H22" s="799">
        <v>0</v>
      </c>
      <c r="I22" s="799">
        <v>0</v>
      </c>
      <c r="J22" s="799">
        <v>0</v>
      </c>
      <c r="K22" s="799">
        <v>0</v>
      </c>
      <c r="L22" s="799">
        <v>411320</v>
      </c>
      <c r="M22" s="799">
        <v>2952.6954909000001</v>
      </c>
      <c r="N22" s="799">
        <v>6235.6112000000003</v>
      </c>
      <c r="O22" s="800">
        <v>8.2962809999999998E-2</v>
      </c>
      <c r="P22" s="800">
        <v>9.1219924008622361E-2</v>
      </c>
      <c r="Q22" s="800">
        <v>3.4283519999999998E-2</v>
      </c>
      <c r="R22" s="801"/>
      <c r="S22" s="799"/>
      <c r="T22" s="524"/>
      <c r="U22" s="524"/>
      <c r="V22" s="524"/>
      <c r="W22" s="524"/>
    </row>
    <row r="23" spans="1:23" hidden="1" outlineLevel="2">
      <c r="A23" s="524">
        <v>11</v>
      </c>
      <c r="B23" s="524" t="s">
        <v>577</v>
      </c>
      <c r="C23" s="524">
        <v>6</v>
      </c>
      <c r="D23" s="524" t="s">
        <v>701</v>
      </c>
      <c r="E23" s="524" t="s">
        <v>94</v>
      </c>
      <c r="F23" s="799">
        <v>2069048</v>
      </c>
      <c r="G23" s="799">
        <v>0</v>
      </c>
      <c r="H23" s="799">
        <v>0</v>
      </c>
      <c r="I23" s="799">
        <v>0</v>
      </c>
      <c r="J23" s="799">
        <v>0</v>
      </c>
      <c r="K23" s="799">
        <v>0</v>
      </c>
      <c r="L23" s="799">
        <v>2069048</v>
      </c>
      <c r="M23" s="799">
        <v>194177.2625218</v>
      </c>
      <c r="N23" s="799">
        <v>409009.40863999998</v>
      </c>
      <c r="O23" s="800">
        <v>5.4417389299999996</v>
      </c>
      <c r="P23" s="800">
        <v>5.9833440505322661</v>
      </c>
      <c r="Q23" s="800">
        <v>0.14105358000000001</v>
      </c>
      <c r="R23" s="801"/>
      <c r="S23" s="799">
        <v>0</v>
      </c>
      <c r="T23" s="524"/>
      <c r="U23" s="800">
        <v>0</v>
      </c>
      <c r="V23" s="524"/>
      <c r="W23" s="524"/>
    </row>
    <row r="24" spans="1:23" hidden="1" outlineLevel="2">
      <c r="A24" s="524">
        <v>12</v>
      </c>
      <c r="B24" s="709" t="s">
        <v>723</v>
      </c>
      <c r="C24" s="524">
        <v>6</v>
      </c>
      <c r="D24" s="524" t="s">
        <v>701</v>
      </c>
      <c r="E24" s="524" t="s">
        <v>724</v>
      </c>
      <c r="F24" s="799">
        <v>135000</v>
      </c>
      <c r="G24" s="799">
        <v>0</v>
      </c>
      <c r="H24" s="799">
        <v>0</v>
      </c>
      <c r="I24" s="799">
        <v>0</v>
      </c>
      <c r="J24" s="799">
        <v>0</v>
      </c>
      <c r="K24" s="799">
        <v>0</v>
      </c>
      <c r="L24" s="799">
        <v>135000</v>
      </c>
      <c r="M24" s="799">
        <v>4056.8723705000002</v>
      </c>
      <c r="N24" s="799">
        <v>3905.55</v>
      </c>
      <c r="O24" s="800">
        <v>5.1962090000000002E-2</v>
      </c>
      <c r="P24" s="800">
        <v>5.7133769695563288E-2</v>
      </c>
      <c r="Q24" s="800">
        <v>1.2883749999999999E-2</v>
      </c>
      <c r="R24" s="801"/>
      <c r="S24" s="799"/>
      <c r="T24" s="524"/>
      <c r="U24" s="800"/>
      <c r="V24" s="524"/>
      <c r="W24" s="524"/>
    </row>
    <row r="25" spans="1:23" hidden="1" outlineLevel="2">
      <c r="A25" s="524">
        <v>13</v>
      </c>
      <c r="B25" s="524" t="s">
        <v>578</v>
      </c>
      <c r="C25" s="524">
        <v>6</v>
      </c>
      <c r="D25" s="524" t="s">
        <v>701</v>
      </c>
      <c r="E25" s="524" t="s">
        <v>95</v>
      </c>
      <c r="F25" s="799">
        <v>523976</v>
      </c>
      <c r="G25" s="799">
        <v>15000</v>
      </c>
      <c r="H25" s="799">
        <v>0</v>
      </c>
      <c r="I25" s="799">
        <v>0</v>
      </c>
      <c r="J25" s="799">
        <v>0</v>
      </c>
      <c r="K25" s="799">
        <v>0</v>
      </c>
      <c r="L25" s="799">
        <v>538976</v>
      </c>
      <c r="M25" s="799">
        <v>74108.013010199997</v>
      </c>
      <c r="N25" s="799">
        <v>123668.0432</v>
      </c>
      <c r="O25" s="800">
        <v>1.6453636300000001</v>
      </c>
      <c r="P25" s="800">
        <v>1.8091232986108927</v>
      </c>
      <c r="Q25" s="800">
        <v>4.8424179999999997E-2</v>
      </c>
      <c r="R25" s="800"/>
      <c r="S25" s="799">
        <v>0</v>
      </c>
      <c r="T25" s="524"/>
      <c r="U25" s="800">
        <v>0</v>
      </c>
      <c r="V25" s="524"/>
      <c r="W25" s="524"/>
    </row>
    <row r="26" spans="1:23" hidden="1" outlineLevel="2">
      <c r="A26" s="524">
        <v>14</v>
      </c>
      <c r="B26" s="524" t="s">
        <v>317</v>
      </c>
      <c r="C26" s="524">
        <v>6</v>
      </c>
      <c r="D26" s="524" t="s">
        <v>701</v>
      </c>
      <c r="E26" s="524" t="s">
        <v>216</v>
      </c>
      <c r="F26" s="799">
        <v>4575731</v>
      </c>
      <c r="G26" s="799">
        <v>0</v>
      </c>
      <c r="H26" s="799">
        <v>0</v>
      </c>
      <c r="I26" s="799">
        <v>0</v>
      </c>
      <c r="J26" s="799">
        <v>0</v>
      </c>
      <c r="K26" s="799">
        <v>250000</v>
      </c>
      <c r="L26" s="799">
        <v>4325731</v>
      </c>
      <c r="M26" s="799">
        <v>172277.90856790001</v>
      </c>
      <c r="N26" s="799">
        <v>221261.14065000002</v>
      </c>
      <c r="O26" s="800">
        <v>2.94380847</v>
      </c>
      <c r="P26" s="800">
        <v>3.236799695939045</v>
      </c>
      <c r="Q26" s="800">
        <v>0.20332338</v>
      </c>
      <c r="R26" s="801"/>
      <c r="S26" s="799">
        <v>0</v>
      </c>
      <c r="T26" s="524"/>
      <c r="U26" s="800">
        <v>0</v>
      </c>
      <c r="V26" s="524"/>
      <c r="W26" s="524"/>
    </row>
    <row r="27" spans="1:23" hidden="1" outlineLevel="2">
      <c r="A27" s="524">
        <v>15</v>
      </c>
      <c r="B27" s="709" t="s">
        <v>725</v>
      </c>
      <c r="C27" s="767">
        <v>6</v>
      </c>
      <c r="D27" s="709" t="s">
        <v>701</v>
      </c>
      <c r="E27" s="524" t="s">
        <v>218</v>
      </c>
      <c r="F27" s="799">
        <v>280000</v>
      </c>
      <c r="G27" s="799">
        <v>0</v>
      </c>
      <c r="H27" s="799">
        <v>0</v>
      </c>
      <c r="I27" s="799">
        <v>0</v>
      </c>
      <c r="J27" s="799">
        <v>0</v>
      </c>
      <c r="K27" s="799">
        <v>0</v>
      </c>
      <c r="L27" s="799">
        <v>280000</v>
      </c>
      <c r="M27" s="799">
        <v>3451.9635520000002</v>
      </c>
      <c r="N27" s="799">
        <v>3724</v>
      </c>
      <c r="O27" s="800">
        <v>4.954662E-2</v>
      </c>
      <c r="P27" s="800">
        <v>5.4477898976143614E-2</v>
      </c>
      <c r="Q27" s="800">
        <v>2.5397670000000001E-2</v>
      </c>
      <c r="R27" s="800"/>
      <c r="S27" s="799"/>
      <c r="T27" s="524"/>
      <c r="U27" s="800"/>
      <c r="V27" s="524"/>
      <c r="W27" s="524"/>
    </row>
    <row r="28" spans="1:23" hidden="1" outlineLevel="2">
      <c r="A28" s="524">
        <v>16</v>
      </c>
      <c r="B28" s="524" t="s">
        <v>579</v>
      </c>
      <c r="C28" s="524">
        <v>6</v>
      </c>
      <c r="D28" s="524" t="s">
        <v>701</v>
      </c>
      <c r="E28" s="524" t="s">
        <v>220</v>
      </c>
      <c r="F28" s="799">
        <v>1974402</v>
      </c>
      <c r="G28" s="799">
        <v>10000</v>
      </c>
      <c r="H28" s="799">
        <v>0</v>
      </c>
      <c r="I28" s="799">
        <v>0</v>
      </c>
      <c r="J28" s="799">
        <v>0</v>
      </c>
      <c r="K28" s="799">
        <v>0</v>
      </c>
      <c r="L28" s="799">
        <v>1984402</v>
      </c>
      <c r="M28" s="799">
        <v>163806.3983685</v>
      </c>
      <c r="N28" s="799">
        <v>291151.46143999998</v>
      </c>
      <c r="O28" s="800">
        <v>3.8736767599999999</v>
      </c>
      <c r="P28" s="800">
        <v>4.2592158708606043</v>
      </c>
      <c r="Q28" s="800">
        <v>0.16210055000000001</v>
      </c>
      <c r="R28" s="800"/>
      <c r="S28" s="799">
        <v>0</v>
      </c>
      <c r="T28" s="524"/>
      <c r="U28" s="800">
        <v>0</v>
      </c>
      <c r="V28" s="524"/>
      <c r="W28" s="524"/>
    </row>
    <row r="29" spans="1:23" hidden="1" outlineLevel="1">
      <c r="A29" s="524"/>
      <c r="B29" s="524"/>
      <c r="C29" s="524"/>
      <c r="D29" s="808" t="s">
        <v>692</v>
      </c>
      <c r="E29" s="524"/>
      <c r="F29" s="803">
        <v>20634835</v>
      </c>
      <c r="G29" s="803">
        <v>175000</v>
      </c>
      <c r="H29" s="803">
        <v>0</v>
      </c>
      <c r="I29" s="803">
        <v>0</v>
      </c>
      <c r="J29" s="803"/>
      <c r="K29" s="803">
        <v>400000</v>
      </c>
      <c r="L29" s="803">
        <v>20409835</v>
      </c>
      <c r="M29" s="803">
        <v>819754.8071812999</v>
      </c>
      <c r="N29" s="803">
        <v>1389379.5766399999</v>
      </c>
      <c r="O29" s="804">
        <v>18.485249409999998</v>
      </c>
      <c r="P29" s="804">
        <v>20.325048393048093</v>
      </c>
      <c r="Q29" s="801"/>
      <c r="R29" s="801"/>
      <c r="S29" s="799"/>
      <c r="T29" s="524"/>
      <c r="U29" s="800"/>
      <c r="V29" s="524"/>
      <c r="W29" s="524"/>
    </row>
    <row r="30" spans="1:23" hidden="1" outlineLevel="1">
      <c r="A30" s="524"/>
      <c r="B30" s="524"/>
      <c r="C30" s="524"/>
      <c r="D30" s="808"/>
      <c r="E30" s="808" t="s">
        <v>760</v>
      </c>
      <c r="F30" s="805"/>
      <c r="G30" s="805"/>
      <c r="H30" s="805"/>
      <c r="I30" s="805"/>
      <c r="J30" s="805"/>
      <c r="K30" s="805"/>
      <c r="L30" s="805"/>
      <c r="M30" s="805"/>
      <c r="N30" s="805"/>
      <c r="O30" s="801"/>
      <c r="P30" s="801"/>
      <c r="Q30" s="801"/>
      <c r="R30" s="801"/>
      <c r="S30" s="799"/>
      <c r="T30" s="524"/>
      <c r="U30" s="800"/>
      <c r="V30" s="524"/>
      <c r="W30" s="524"/>
    </row>
    <row r="31" spans="1:23" hidden="1" outlineLevel="2">
      <c r="A31" s="524">
        <v>17</v>
      </c>
      <c r="B31" s="524" t="s">
        <v>580</v>
      </c>
      <c r="C31" s="524">
        <v>7</v>
      </c>
      <c r="D31" s="524" t="s">
        <v>760</v>
      </c>
      <c r="E31" s="524" t="s">
        <v>531</v>
      </c>
      <c r="F31" s="799">
        <v>899580</v>
      </c>
      <c r="G31" s="799">
        <v>0</v>
      </c>
      <c r="H31" s="799">
        <v>0</v>
      </c>
      <c r="I31" s="799">
        <v>0</v>
      </c>
      <c r="J31" s="799">
        <v>0</v>
      </c>
      <c r="K31" s="799">
        <v>0</v>
      </c>
      <c r="L31" s="799">
        <v>899580</v>
      </c>
      <c r="M31" s="799">
        <v>14787.808250499998</v>
      </c>
      <c r="N31" s="799">
        <v>46841.130600000004</v>
      </c>
      <c r="O31" s="800">
        <v>0.62320620999999998</v>
      </c>
      <c r="P31" s="800">
        <v>0.6852326478934343</v>
      </c>
      <c r="Q31" s="800">
        <v>0.72720070999999997</v>
      </c>
      <c r="R31" s="800"/>
      <c r="S31" s="799">
        <v>0</v>
      </c>
      <c r="T31" s="524"/>
      <c r="U31" s="800">
        <v>0</v>
      </c>
      <c r="V31" s="524"/>
      <c r="W31" s="524"/>
    </row>
    <row r="32" spans="1:23" hidden="1" outlineLevel="1">
      <c r="A32" s="524"/>
      <c r="B32" s="524"/>
      <c r="C32" s="524"/>
      <c r="D32" s="808" t="s">
        <v>726</v>
      </c>
      <c r="E32" s="524"/>
      <c r="F32" s="803">
        <v>899580</v>
      </c>
      <c r="G32" s="803">
        <v>0</v>
      </c>
      <c r="H32" s="803">
        <v>0</v>
      </c>
      <c r="I32" s="803">
        <v>0</v>
      </c>
      <c r="J32" s="803"/>
      <c r="K32" s="803">
        <v>0</v>
      </c>
      <c r="L32" s="803">
        <v>899580</v>
      </c>
      <c r="M32" s="803">
        <v>14787.808250499998</v>
      </c>
      <c r="N32" s="803">
        <v>46841.130600000004</v>
      </c>
      <c r="O32" s="804">
        <v>0.62320620999999998</v>
      </c>
      <c r="P32" s="804">
        <v>0.6852326478934343</v>
      </c>
      <c r="Q32" s="801"/>
      <c r="R32" s="801"/>
      <c r="S32" s="799"/>
      <c r="T32" s="524"/>
      <c r="U32" s="800"/>
      <c r="V32" s="524"/>
      <c r="W32" s="524"/>
    </row>
    <row r="33" spans="1:23" hidden="1" outlineLevel="1">
      <c r="A33" s="524"/>
      <c r="B33" s="524"/>
      <c r="C33" s="524"/>
      <c r="D33" s="808"/>
      <c r="E33" s="808" t="s">
        <v>761</v>
      </c>
      <c r="F33" s="805"/>
      <c r="G33" s="805"/>
      <c r="H33" s="805"/>
      <c r="I33" s="805"/>
      <c r="J33" s="805"/>
      <c r="K33" s="805"/>
      <c r="L33" s="805"/>
      <c r="M33" s="805"/>
      <c r="N33" s="805"/>
      <c r="O33" s="801"/>
      <c r="P33" s="801"/>
      <c r="Q33" s="801"/>
      <c r="R33" s="801"/>
      <c r="S33" s="799"/>
      <c r="T33" s="524"/>
      <c r="U33" s="800"/>
      <c r="V33" s="524"/>
      <c r="W33" s="524"/>
    </row>
    <row r="34" spans="1:23" hidden="1" outlineLevel="2">
      <c r="A34" s="524">
        <v>18</v>
      </c>
      <c r="B34" s="524" t="s">
        <v>566</v>
      </c>
      <c r="C34" s="524">
        <v>8</v>
      </c>
      <c r="D34" s="524" t="s">
        <v>761</v>
      </c>
      <c r="E34" s="524" t="s">
        <v>450</v>
      </c>
      <c r="F34" s="799">
        <v>1031621</v>
      </c>
      <c r="G34" s="799">
        <v>0</v>
      </c>
      <c r="H34" s="799">
        <v>0</v>
      </c>
      <c r="I34" s="799">
        <v>0</v>
      </c>
      <c r="J34" s="799">
        <v>0</v>
      </c>
      <c r="K34" s="799">
        <v>642500</v>
      </c>
      <c r="L34" s="799">
        <v>389121</v>
      </c>
      <c r="M34" s="799">
        <v>466.94523290000001</v>
      </c>
      <c r="N34" s="799">
        <v>859.95740999999998</v>
      </c>
      <c r="O34" s="800">
        <v>1.1441460000000001E-2</v>
      </c>
      <c r="P34" s="800">
        <v>1.2580202176628924E-2</v>
      </c>
      <c r="Q34" s="800">
        <v>0.14999069000000001</v>
      </c>
      <c r="R34" s="800"/>
      <c r="S34" s="799">
        <v>0</v>
      </c>
      <c r="T34" s="524"/>
      <c r="U34" s="800">
        <v>0</v>
      </c>
      <c r="V34" s="524"/>
      <c r="W34" s="524" t="s">
        <v>722</v>
      </c>
    </row>
    <row r="35" spans="1:23" hidden="1" outlineLevel="1">
      <c r="A35" s="524"/>
      <c r="B35" s="524"/>
      <c r="C35" s="524"/>
      <c r="D35" s="808" t="s">
        <v>727</v>
      </c>
      <c r="E35" s="524"/>
      <c r="F35" s="803">
        <v>1031621</v>
      </c>
      <c r="G35" s="803">
        <v>0</v>
      </c>
      <c r="H35" s="803">
        <v>0</v>
      </c>
      <c r="I35" s="803">
        <v>0</v>
      </c>
      <c r="J35" s="803"/>
      <c r="K35" s="803">
        <v>642500</v>
      </c>
      <c r="L35" s="803">
        <v>389121</v>
      </c>
      <c r="M35" s="803">
        <v>466.94523290000001</v>
      </c>
      <c r="N35" s="803">
        <v>859.95740999999998</v>
      </c>
      <c r="O35" s="804">
        <v>1.1441460000000001E-2</v>
      </c>
      <c r="P35" s="804">
        <v>1.2580202176628924E-2</v>
      </c>
      <c r="Q35" s="801"/>
      <c r="R35" s="801"/>
      <c r="S35" s="799"/>
      <c r="T35" s="524"/>
      <c r="U35" s="800"/>
      <c r="V35" s="524"/>
      <c r="W35" s="524"/>
    </row>
    <row r="36" spans="1:23" hidden="1" outlineLevel="1">
      <c r="A36" s="524"/>
      <c r="B36" s="524"/>
      <c r="C36" s="524"/>
      <c r="D36" s="808"/>
      <c r="E36" s="808" t="s">
        <v>762</v>
      </c>
      <c r="F36" s="805"/>
      <c r="G36" s="805"/>
      <c r="H36" s="805"/>
      <c r="I36" s="805"/>
      <c r="J36" s="805"/>
      <c r="K36" s="805"/>
      <c r="L36" s="805"/>
      <c r="M36" s="805"/>
      <c r="N36" s="805"/>
      <c r="O36" s="801"/>
      <c r="P36" s="801"/>
      <c r="Q36" s="801"/>
      <c r="R36" s="801"/>
      <c r="S36" s="799"/>
      <c r="T36" s="524"/>
      <c r="U36" s="800"/>
      <c r="V36" s="524"/>
      <c r="W36" s="524"/>
    </row>
    <row r="37" spans="1:23" hidden="1" outlineLevel="2">
      <c r="A37" s="524">
        <v>19</v>
      </c>
      <c r="B37" s="806" t="s">
        <v>567</v>
      </c>
      <c r="C37" s="524">
        <v>10</v>
      </c>
      <c r="D37" s="524" t="s">
        <v>762</v>
      </c>
      <c r="E37" s="524" t="s">
        <v>526</v>
      </c>
      <c r="F37" s="799">
        <v>1489258</v>
      </c>
      <c r="G37" s="799">
        <v>0</v>
      </c>
      <c r="H37" s="799">
        <v>0</v>
      </c>
      <c r="I37" s="799">
        <v>0</v>
      </c>
      <c r="J37" s="799">
        <v>0</v>
      </c>
      <c r="K37" s="799">
        <v>50000</v>
      </c>
      <c r="L37" s="799">
        <v>1439258</v>
      </c>
      <c r="M37" s="799">
        <v>49118.375835300001</v>
      </c>
      <c r="N37" s="799">
        <v>55339.470099999999</v>
      </c>
      <c r="O37" s="800">
        <v>0.73627388999999999</v>
      </c>
      <c r="P37" s="800">
        <v>0.80955372220760469</v>
      </c>
      <c r="Q37" s="800">
        <v>0.71896539000000004</v>
      </c>
      <c r="R37" s="800"/>
      <c r="S37" s="799"/>
      <c r="T37" s="524"/>
      <c r="U37" s="524"/>
      <c r="V37" s="524"/>
      <c r="W37" s="524"/>
    </row>
    <row r="38" spans="1:23" hidden="1" outlineLevel="2">
      <c r="A38" s="524">
        <v>20</v>
      </c>
      <c r="B38" s="524" t="s">
        <v>568</v>
      </c>
      <c r="C38" s="524">
        <v>10</v>
      </c>
      <c r="D38" s="524" t="s">
        <v>762</v>
      </c>
      <c r="E38" s="524" t="s">
        <v>227</v>
      </c>
      <c r="F38" s="799">
        <v>2417841</v>
      </c>
      <c r="G38" s="799">
        <v>0</v>
      </c>
      <c r="H38" s="799">
        <v>0</v>
      </c>
      <c r="I38" s="799">
        <v>0</v>
      </c>
      <c r="J38" s="799">
        <v>0</v>
      </c>
      <c r="K38" s="799">
        <v>0</v>
      </c>
      <c r="L38" s="799">
        <v>2417841</v>
      </c>
      <c r="M38" s="799">
        <v>121469.8313877</v>
      </c>
      <c r="N38" s="799">
        <v>240067.43289</v>
      </c>
      <c r="O38" s="800">
        <v>3.19402016</v>
      </c>
      <c r="P38" s="800">
        <v>3.5119144351352194</v>
      </c>
      <c r="Q38" s="800">
        <v>0.68766848000000003</v>
      </c>
      <c r="R38" s="800"/>
      <c r="S38" s="799"/>
      <c r="T38" s="524"/>
      <c r="U38" s="800"/>
      <c r="V38" s="524"/>
      <c r="W38" s="524"/>
    </row>
    <row r="39" spans="1:23" hidden="1" outlineLevel="1">
      <c r="A39" s="524"/>
      <c r="B39" s="524"/>
      <c r="C39" s="524"/>
      <c r="D39" s="808" t="s">
        <v>728</v>
      </c>
      <c r="E39" s="524"/>
      <c r="F39" s="803">
        <v>3907099</v>
      </c>
      <c r="G39" s="803">
        <v>0</v>
      </c>
      <c r="H39" s="803">
        <v>0</v>
      </c>
      <c r="I39" s="803">
        <v>0</v>
      </c>
      <c r="J39" s="803"/>
      <c r="K39" s="803">
        <v>50000</v>
      </c>
      <c r="L39" s="803">
        <v>3857099</v>
      </c>
      <c r="M39" s="803">
        <v>170588.207223</v>
      </c>
      <c r="N39" s="803">
        <v>295406.90298999997</v>
      </c>
      <c r="O39" s="804">
        <v>3.9302940500000001</v>
      </c>
      <c r="P39" s="804">
        <v>4.3214681573428244</v>
      </c>
      <c r="Q39" s="801"/>
      <c r="R39" s="801"/>
      <c r="S39" s="799"/>
      <c r="T39" s="524"/>
      <c r="U39" s="800"/>
      <c r="V39" s="524"/>
      <c r="W39" s="524"/>
    </row>
    <row r="40" spans="1:23" outlineLevel="1">
      <c r="A40" s="524"/>
      <c r="B40" s="524"/>
      <c r="C40" s="524"/>
      <c r="D40" s="808"/>
      <c r="E40" s="808" t="s">
        <v>335</v>
      </c>
      <c r="F40" s="805"/>
      <c r="G40" s="805"/>
      <c r="H40" s="805"/>
      <c r="I40" s="805"/>
      <c r="J40" s="805"/>
      <c r="K40" s="805"/>
      <c r="L40" s="805"/>
      <c r="M40" s="805"/>
      <c r="N40" s="805"/>
      <c r="O40" s="801"/>
      <c r="P40" s="801"/>
      <c r="Q40" s="801"/>
      <c r="R40" s="801"/>
      <c r="S40" s="799"/>
      <c r="T40" s="524"/>
      <c r="U40" s="800"/>
      <c r="V40" s="524"/>
      <c r="W40" s="524"/>
    </row>
    <row r="41" spans="1:23" ht="17.25" customHeight="1" outlineLevel="2">
      <c r="A41" s="524">
        <v>21</v>
      </c>
      <c r="B41" s="806" t="s">
        <v>559</v>
      </c>
      <c r="C41" s="524">
        <v>15</v>
      </c>
      <c r="D41" s="524" t="s">
        <v>335</v>
      </c>
      <c r="E41" s="524" t="s">
        <v>522</v>
      </c>
      <c r="F41" s="799">
        <v>567076</v>
      </c>
      <c r="G41" s="799">
        <v>0</v>
      </c>
      <c r="H41" s="799">
        <v>0</v>
      </c>
      <c r="I41" s="799">
        <v>0</v>
      </c>
      <c r="J41" s="799">
        <v>0</v>
      </c>
      <c r="K41" s="799">
        <v>0</v>
      </c>
      <c r="L41" s="799">
        <v>567076</v>
      </c>
      <c r="M41" s="799">
        <v>20266.6766135</v>
      </c>
      <c r="N41" s="799">
        <v>48893.292719999998</v>
      </c>
      <c r="O41" s="800">
        <v>0.65050956999999998</v>
      </c>
      <c r="P41" s="800">
        <v>0.71525345365498871</v>
      </c>
      <c r="Q41" s="800">
        <v>0.32104959999999999</v>
      </c>
      <c r="R41" s="800"/>
      <c r="S41" s="799">
        <v>0</v>
      </c>
      <c r="T41" s="524"/>
      <c r="U41" s="800">
        <v>0</v>
      </c>
      <c r="V41" s="524"/>
      <c r="W41" s="524"/>
    </row>
    <row r="42" spans="1:23" outlineLevel="2">
      <c r="A42" s="524">
        <v>22</v>
      </c>
      <c r="B42" s="524" t="s">
        <v>558</v>
      </c>
      <c r="C42" s="524">
        <v>15</v>
      </c>
      <c r="D42" s="524" t="s">
        <v>335</v>
      </c>
      <c r="E42" s="524" t="s">
        <v>521</v>
      </c>
      <c r="F42" s="799">
        <v>3756032</v>
      </c>
      <c r="G42" s="799">
        <v>15000</v>
      </c>
      <c r="H42" s="799">
        <v>0</v>
      </c>
      <c r="I42" s="799">
        <v>0</v>
      </c>
      <c r="J42" s="799">
        <v>0</v>
      </c>
      <c r="K42" s="799">
        <v>0</v>
      </c>
      <c r="L42" s="799">
        <v>3771032</v>
      </c>
      <c r="M42" s="799">
        <v>104192.1566647</v>
      </c>
      <c r="N42" s="799">
        <v>516706.80463999999</v>
      </c>
      <c r="O42" s="800">
        <v>6.8746182200000003</v>
      </c>
      <c r="P42" s="800">
        <v>7.5588348827776297</v>
      </c>
      <c r="Q42" s="800">
        <v>0.86073215999999997</v>
      </c>
      <c r="R42" s="800"/>
      <c r="S42" s="799">
        <v>0</v>
      </c>
      <c r="T42" s="524"/>
      <c r="U42" s="800">
        <v>0</v>
      </c>
      <c r="V42" s="524"/>
      <c r="W42" s="524"/>
    </row>
    <row r="43" spans="1:23" outlineLevel="2">
      <c r="A43" s="524">
        <v>23</v>
      </c>
      <c r="B43" s="524" t="s">
        <v>560</v>
      </c>
      <c r="C43" s="524">
        <v>15</v>
      </c>
      <c r="D43" s="524" t="s">
        <v>335</v>
      </c>
      <c r="E43" s="524" t="s">
        <v>230</v>
      </c>
      <c r="F43" s="799">
        <v>3196000</v>
      </c>
      <c r="G43" s="799">
        <v>440000</v>
      </c>
      <c r="H43" s="799">
        <v>0</v>
      </c>
      <c r="I43" s="799">
        <v>0</v>
      </c>
      <c r="J43" s="799">
        <v>0</v>
      </c>
      <c r="K43" s="799">
        <v>0</v>
      </c>
      <c r="L43" s="799">
        <v>3636000</v>
      </c>
      <c r="M43" s="799">
        <v>94621.53008560001</v>
      </c>
      <c r="N43" s="799">
        <v>121733.28</v>
      </c>
      <c r="O43" s="800">
        <v>1.6196222300000001</v>
      </c>
      <c r="P43" s="800">
        <v>1.7808199059813652</v>
      </c>
      <c r="Q43" s="800">
        <v>0.27315430000000002</v>
      </c>
      <c r="R43" s="800"/>
      <c r="S43" s="799"/>
      <c r="T43" s="524"/>
      <c r="U43" s="524"/>
      <c r="V43" s="524"/>
      <c r="W43" s="524"/>
    </row>
    <row r="44" spans="1:23" outlineLevel="2">
      <c r="A44" s="524">
        <v>24</v>
      </c>
      <c r="B44" s="806" t="s">
        <v>561</v>
      </c>
      <c r="C44" s="524">
        <v>15</v>
      </c>
      <c r="D44" s="524" t="s">
        <v>335</v>
      </c>
      <c r="E44" s="524" t="s">
        <v>523</v>
      </c>
      <c r="F44" s="799">
        <v>96000</v>
      </c>
      <c r="G44" s="799">
        <v>0</v>
      </c>
      <c r="H44" s="799">
        <v>0</v>
      </c>
      <c r="I44" s="799">
        <v>0</v>
      </c>
      <c r="J44" s="799">
        <v>0</v>
      </c>
      <c r="K44" s="799">
        <v>0</v>
      </c>
      <c r="L44" s="799">
        <v>96000</v>
      </c>
      <c r="M44" s="799">
        <v>7562.9398265</v>
      </c>
      <c r="N44" s="799">
        <v>18332.16</v>
      </c>
      <c r="O44" s="800">
        <v>0.24390350999999999</v>
      </c>
      <c r="P44" s="800">
        <v>0.26817872193729886</v>
      </c>
      <c r="Q44" s="800">
        <v>6.213246E-2</v>
      </c>
      <c r="R44" s="800"/>
      <c r="S44" s="799"/>
      <c r="T44" s="524"/>
      <c r="U44" s="524"/>
      <c r="V44" s="524"/>
      <c r="W44" s="524"/>
    </row>
    <row r="45" spans="1:23" outlineLevel="2">
      <c r="A45" s="524">
        <v>25</v>
      </c>
      <c r="B45" s="709" t="s">
        <v>729</v>
      </c>
      <c r="C45" s="524">
        <v>15</v>
      </c>
      <c r="D45" s="524" t="e">
        <v>#N/A</v>
      </c>
      <c r="E45" s="524" t="s">
        <v>730</v>
      </c>
      <c r="F45" s="799">
        <v>72598</v>
      </c>
      <c r="G45" s="799">
        <v>0</v>
      </c>
      <c r="H45" s="799">
        <v>0</v>
      </c>
      <c r="I45" s="799">
        <v>0</v>
      </c>
      <c r="J45" s="799">
        <v>0</v>
      </c>
      <c r="K45" s="799">
        <v>0</v>
      </c>
      <c r="L45" s="799">
        <v>72598</v>
      </c>
      <c r="M45" s="799">
        <v>136.48424</v>
      </c>
      <c r="N45" s="799">
        <v>1314.0237999999999</v>
      </c>
      <c r="O45" s="800">
        <v>1.7482660000000001E-2</v>
      </c>
      <c r="P45" s="800">
        <v>1.9222678793944237E-2</v>
      </c>
      <c r="Q45" s="800">
        <v>5.5306699999999997E-3</v>
      </c>
      <c r="R45" s="800"/>
      <c r="S45" s="799">
        <v>0</v>
      </c>
      <c r="T45" s="524"/>
      <c r="U45" s="800">
        <v>0</v>
      </c>
      <c r="V45" s="524"/>
      <c r="W45" s="524"/>
    </row>
    <row r="46" spans="1:23" outlineLevel="2">
      <c r="A46" s="524">
        <v>26</v>
      </c>
      <c r="B46" s="524" t="s">
        <v>562</v>
      </c>
      <c r="C46" s="524">
        <v>15</v>
      </c>
      <c r="D46" s="524" t="s">
        <v>335</v>
      </c>
      <c r="E46" s="524" t="s">
        <v>448</v>
      </c>
      <c r="F46" s="799">
        <v>1463818</v>
      </c>
      <c r="G46" s="799">
        <v>0</v>
      </c>
      <c r="H46" s="799">
        <v>0</v>
      </c>
      <c r="I46" s="799">
        <v>0</v>
      </c>
      <c r="J46" s="799">
        <v>0</v>
      </c>
      <c r="K46" s="799">
        <v>75000</v>
      </c>
      <c r="L46" s="799">
        <v>1388818</v>
      </c>
      <c r="M46" s="799">
        <v>110707.041939</v>
      </c>
      <c r="N46" s="799">
        <v>731490.44059999997</v>
      </c>
      <c r="O46" s="800">
        <v>9.7322455699999999</v>
      </c>
      <c r="P46" s="800">
        <v>10.700876027127169</v>
      </c>
      <c r="Q46" s="800">
        <v>0.42947600000000002</v>
      </c>
      <c r="R46" s="800"/>
      <c r="S46" s="799">
        <v>0</v>
      </c>
      <c r="T46" s="524"/>
      <c r="U46" s="800">
        <v>0</v>
      </c>
      <c r="V46" s="524"/>
      <c r="W46" s="524"/>
    </row>
    <row r="47" spans="1:23" outlineLevel="2">
      <c r="A47" s="524">
        <v>27</v>
      </c>
      <c r="B47" s="524" t="s">
        <v>563</v>
      </c>
      <c r="C47" s="524">
        <v>15</v>
      </c>
      <c r="D47" s="524" t="s">
        <v>335</v>
      </c>
      <c r="E47" s="524" t="s">
        <v>449</v>
      </c>
      <c r="F47" s="799">
        <v>2233000</v>
      </c>
      <c r="G47" s="799">
        <v>0</v>
      </c>
      <c r="H47" s="799">
        <v>0</v>
      </c>
      <c r="I47" s="799">
        <v>0</v>
      </c>
      <c r="J47" s="799">
        <v>0</v>
      </c>
      <c r="K47" s="799">
        <v>15000</v>
      </c>
      <c r="L47" s="799">
        <v>2218000</v>
      </c>
      <c r="M47" s="799">
        <v>39179.832845999998</v>
      </c>
      <c r="N47" s="799">
        <v>62747.22</v>
      </c>
      <c r="O47" s="800">
        <v>0.83483163000000005</v>
      </c>
      <c r="P47" s="800">
        <v>0.91792070681897375</v>
      </c>
      <c r="Q47" s="800">
        <v>2.22427245</v>
      </c>
      <c r="R47" s="800"/>
      <c r="S47" s="799">
        <v>0</v>
      </c>
      <c r="T47" s="524"/>
      <c r="U47" s="800">
        <v>0</v>
      </c>
      <c r="V47" s="524"/>
      <c r="W47" s="524"/>
    </row>
    <row r="48" spans="1:23" outlineLevel="1">
      <c r="A48" s="524"/>
      <c r="B48" s="524"/>
      <c r="C48" s="524"/>
      <c r="D48" s="808" t="s">
        <v>693</v>
      </c>
      <c r="E48" s="524"/>
      <c r="F48" s="803">
        <v>11384524</v>
      </c>
      <c r="G48" s="803">
        <v>455000</v>
      </c>
      <c r="H48" s="803">
        <v>0</v>
      </c>
      <c r="I48" s="803">
        <v>0</v>
      </c>
      <c r="J48" s="803"/>
      <c r="K48" s="803">
        <v>90000</v>
      </c>
      <c r="L48" s="803">
        <v>11749524</v>
      </c>
      <c r="M48" s="803">
        <v>376666.66221529996</v>
      </c>
      <c r="N48" s="803">
        <v>1501217.2217599999</v>
      </c>
      <c r="O48" s="804">
        <v>19.973213390000002</v>
      </c>
      <c r="P48" s="804">
        <v>21.961106377091369</v>
      </c>
      <c r="Q48" s="801"/>
      <c r="R48" s="801"/>
      <c r="S48" s="799"/>
      <c r="T48" s="524"/>
      <c r="U48" s="800"/>
      <c r="V48" s="524"/>
      <c r="W48" s="524"/>
    </row>
    <row r="49" spans="1:23" outlineLevel="1">
      <c r="A49" s="524"/>
      <c r="B49" s="524"/>
      <c r="C49" s="524"/>
      <c r="D49" s="808"/>
      <c r="E49" s="808" t="s">
        <v>340</v>
      </c>
      <c r="F49" s="805"/>
      <c r="G49" s="805"/>
      <c r="H49" s="805"/>
      <c r="I49" s="805"/>
      <c r="J49" s="805"/>
      <c r="K49" s="805"/>
      <c r="L49" s="805"/>
      <c r="M49" s="805"/>
      <c r="N49" s="805"/>
      <c r="O49" s="801"/>
      <c r="P49" s="801"/>
      <c r="Q49" s="801"/>
      <c r="R49" s="801"/>
      <c r="S49" s="799"/>
      <c r="T49" s="524"/>
      <c r="U49" s="800"/>
      <c r="V49" s="524"/>
      <c r="W49" s="524"/>
    </row>
    <row r="50" spans="1:23" outlineLevel="2">
      <c r="A50" s="524">
        <v>28</v>
      </c>
      <c r="B50" s="524" t="s">
        <v>538</v>
      </c>
      <c r="C50" s="524">
        <v>17</v>
      </c>
      <c r="D50" s="524" t="s">
        <v>340</v>
      </c>
      <c r="E50" s="524" t="s">
        <v>513</v>
      </c>
      <c r="F50" s="799">
        <v>452562</v>
      </c>
      <c r="G50" s="799">
        <v>0</v>
      </c>
      <c r="H50" s="799">
        <v>0</v>
      </c>
      <c r="I50" s="799">
        <v>0</v>
      </c>
      <c r="J50" s="799">
        <v>0</v>
      </c>
      <c r="K50" s="799">
        <v>62500</v>
      </c>
      <c r="L50" s="799">
        <v>390062</v>
      </c>
      <c r="M50" s="799">
        <v>43198.784501199996</v>
      </c>
      <c r="N50" s="799">
        <v>74497.941379999989</v>
      </c>
      <c r="O50" s="800">
        <v>0.99117120000000003</v>
      </c>
      <c r="P50" s="800">
        <v>1.0898204415763448</v>
      </c>
      <c r="Q50" s="800">
        <v>0.45732005999999997</v>
      </c>
      <c r="R50" s="800"/>
      <c r="S50" s="799">
        <v>0</v>
      </c>
      <c r="T50" s="524"/>
      <c r="U50" s="800">
        <v>0</v>
      </c>
      <c r="V50" s="524"/>
      <c r="W50" s="524"/>
    </row>
    <row r="51" spans="1:23" outlineLevel="2">
      <c r="A51" s="524">
        <v>29</v>
      </c>
      <c r="B51" s="524" t="s">
        <v>540</v>
      </c>
      <c r="C51" s="524">
        <v>17</v>
      </c>
      <c r="D51" s="524" t="s">
        <v>340</v>
      </c>
      <c r="E51" s="524" t="s">
        <v>374</v>
      </c>
      <c r="F51" s="799">
        <v>870055</v>
      </c>
      <c r="G51" s="799">
        <v>0</v>
      </c>
      <c r="H51" s="799">
        <v>0</v>
      </c>
      <c r="I51" s="799">
        <v>0</v>
      </c>
      <c r="J51" s="799">
        <v>0</v>
      </c>
      <c r="K51" s="799">
        <v>142600</v>
      </c>
      <c r="L51" s="799">
        <v>727455</v>
      </c>
      <c r="M51" s="799">
        <v>134470.05675359999</v>
      </c>
      <c r="N51" s="799">
        <v>159981.90359999999</v>
      </c>
      <c r="O51" s="800">
        <v>2.1285078899999998</v>
      </c>
      <c r="P51" s="800">
        <v>2.3403539157711992</v>
      </c>
      <c r="Q51" s="800">
        <v>0.90969900000000004</v>
      </c>
      <c r="R51" s="801"/>
      <c r="S51" s="799"/>
      <c r="T51" s="524"/>
      <c r="U51" s="800"/>
      <c r="V51" s="524"/>
      <c r="W51" s="524"/>
    </row>
    <row r="52" spans="1:23" outlineLevel="2">
      <c r="A52" s="524">
        <v>30</v>
      </c>
      <c r="B52" s="524" t="s">
        <v>544</v>
      </c>
      <c r="C52" s="524">
        <v>17</v>
      </c>
      <c r="D52" s="524" t="s">
        <v>340</v>
      </c>
      <c r="E52" s="524" t="s">
        <v>375</v>
      </c>
      <c r="F52" s="799">
        <v>437931</v>
      </c>
      <c r="G52" s="799">
        <v>0</v>
      </c>
      <c r="H52" s="799">
        <v>0</v>
      </c>
      <c r="I52" s="799">
        <v>0</v>
      </c>
      <c r="J52" s="799">
        <v>0</v>
      </c>
      <c r="K52" s="799">
        <v>5000</v>
      </c>
      <c r="L52" s="799">
        <v>432931</v>
      </c>
      <c r="M52" s="799">
        <v>6611.818518</v>
      </c>
      <c r="N52" s="799">
        <v>17771.81755</v>
      </c>
      <c r="O52" s="800">
        <v>0.23644833000000001</v>
      </c>
      <c r="P52" s="800">
        <v>0.25998154702238346</v>
      </c>
      <c r="Q52" s="800">
        <v>0.14725543999999999</v>
      </c>
      <c r="R52" s="801"/>
      <c r="S52" s="799"/>
      <c r="T52" s="524"/>
      <c r="U52" s="800"/>
      <c r="V52" s="524"/>
      <c r="W52" s="524"/>
    </row>
    <row r="53" spans="1:23" outlineLevel="1">
      <c r="A53" s="524"/>
      <c r="B53" s="524"/>
      <c r="C53" s="524"/>
      <c r="D53" s="808" t="s">
        <v>731</v>
      </c>
      <c r="E53" s="524"/>
      <c r="F53" s="803">
        <v>1760548</v>
      </c>
      <c r="G53" s="803">
        <v>0</v>
      </c>
      <c r="H53" s="803">
        <v>0</v>
      </c>
      <c r="I53" s="803">
        <v>0</v>
      </c>
      <c r="J53" s="803"/>
      <c r="K53" s="803">
        <v>210100</v>
      </c>
      <c r="L53" s="803">
        <v>1550448</v>
      </c>
      <c r="M53" s="803">
        <v>184280.65977279999</v>
      </c>
      <c r="N53" s="803">
        <v>252251.66253</v>
      </c>
      <c r="O53" s="804">
        <v>3.35612742</v>
      </c>
      <c r="P53" s="804">
        <v>3.6901559043699277</v>
      </c>
      <c r="Q53" s="801"/>
      <c r="R53" s="801"/>
      <c r="S53" s="799"/>
      <c r="T53" s="524"/>
      <c r="U53" s="800"/>
      <c r="V53" s="524"/>
      <c r="W53" s="524"/>
    </row>
    <row r="54" spans="1:23" outlineLevel="1">
      <c r="A54" s="524"/>
      <c r="B54" s="524"/>
      <c r="C54" s="524"/>
      <c r="D54" s="808"/>
      <c r="E54" s="808" t="s">
        <v>703</v>
      </c>
      <c r="F54" s="805"/>
      <c r="G54" s="805"/>
      <c r="H54" s="805"/>
      <c r="I54" s="805"/>
      <c r="J54" s="805"/>
      <c r="K54" s="805"/>
      <c r="L54" s="805"/>
      <c r="M54" s="805"/>
      <c r="N54" s="805"/>
      <c r="O54" s="801"/>
      <c r="P54" s="801"/>
      <c r="Q54" s="801"/>
      <c r="R54" s="801"/>
      <c r="S54" s="799"/>
      <c r="T54" s="524"/>
      <c r="U54" s="800"/>
      <c r="V54" s="524"/>
      <c r="W54" s="524"/>
    </row>
    <row r="55" spans="1:23" outlineLevel="2">
      <c r="A55" s="524">
        <v>31</v>
      </c>
      <c r="B55" s="524" t="s">
        <v>167</v>
      </c>
      <c r="C55" s="524">
        <v>18</v>
      </c>
      <c r="D55" s="524" t="s">
        <v>703</v>
      </c>
      <c r="E55" s="524" t="s">
        <v>451</v>
      </c>
      <c r="F55" s="799">
        <v>372400</v>
      </c>
      <c r="G55" s="799">
        <v>0</v>
      </c>
      <c r="H55" s="799">
        <v>0</v>
      </c>
      <c r="I55" s="799">
        <v>0</v>
      </c>
      <c r="J55" s="799">
        <v>0</v>
      </c>
      <c r="K55" s="799">
        <v>0</v>
      </c>
      <c r="L55" s="799">
        <v>372400</v>
      </c>
      <c r="M55" s="799">
        <v>12777.1429739</v>
      </c>
      <c r="N55" s="799">
        <v>36584.576000000001</v>
      </c>
      <c r="O55" s="800">
        <v>0.48674603999999999</v>
      </c>
      <c r="P55" s="800">
        <v>0.53519087954163491</v>
      </c>
      <c r="Q55" s="800">
        <v>3.21824E-2</v>
      </c>
      <c r="R55" s="800"/>
      <c r="S55" s="799">
        <v>0</v>
      </c>
      <c r="T55" s="524"/>
      <c r="U55" s="800">
        <v>0</v>
      </c>
      <c r="V55" s="524"/>
      <c r="W55" s="524"/>
    </row>
    <row r="56" spans="1:23" outlineLevel="2">
      <c r="A56" s="524">
        <v>32</v>
      </c>
      <c r="B56" s="524" t="s">
        <v>571</v>
      </c>
      <c r="C56" s="524">
        <v>18</v>
      </c>
      <c r="D56" s="524" t="s">
        <v>703</v>
      </c>
      <c r="E56" s="524" t="s">
        <v>529</v>
      </c>
      <c r="F56" s="799">
        <v>13170</v>
      </c>
      <c r="G56" s="799">
        <v>0</v>
      </c>
      <c r="H56" s="799">
        <v>0</v>
      </c>
      <c r="I56" s="799">
        <v>0</v>
      </c>
      <c r="J56" s="799">
        <v>0</v>
      </c>
      <c r="K56" s="799">
        <v>0</v>
      </c>
      <c r="L56" s="799">
        <v>13170</v>
      </c>
      <c r="M56" s="799">
        <v>535.75580000000002</v>
      </c>
      <c r="N56" s="799">
        <v>1247.8575000000001</v>
      </c>
      <c r="O56" s="800">
        <v>1.660234E-2</v>
      </c>
      <c r="P56" s="800">
        <v>1.8254740822132957E-2</v>
      </c>
      <c r="Q56" s="800">
        <v>1.4961600000000001E-3</v>
      </c>
      <c r="R56" s="800"/>
      <c r="S56" s="799">
        <v>0</v>
      </c>
      <c r="T56" s="524"/>
      <c r="U56" s="800">
        <v>0</v>
      </c>
      <c r="V56" s="524"/>
      <c r="W56" s="524"/>
    </row>
    <row r="57" spans="1:23" outlineLevel="2">
      <c r="A57" s="524">
        <v>33</v>
      </c>
      <c r="B57" s="806" t="s">
        <v>528</v>
      </c>
      <c r="C57" s="524">
        <v>18</v>
      </c>
      <c r="D57" s="524" t="s">
        <v>703</v>
      </c>
      <c r="E57" s="806" t="s">
        <v>732</v>
      </c>
      <c r="F57" s="799">
        <v>1275555</v>
      </c>
      <c r="G57" s="799">
        <v>0</v>
      </c>
      <c r="H57" s="799">
        <v>0</v>
      </c>
      <c r="I57" s="799">
        <v>0</v>
      </c>
      <c r="J57" s="799">
        <v>0</v>
      </c>
      <c r="K57" s="799">
        <v>0</v>
      </c>
      <c r="L57" s="799">
        <v>1275555</v>
      </c>
      <c r="M57" s="799">
        <v>21874.802666200001</v>
      </c>
      <c r="N57" s="799">
        <v>37207.939350000001</v>
      </c>
      <c r="O57" s="800">
        <v>0.49503968999999998</v>
      </c>
      <c r="P57" s="800">
        <v>0.54430997879156251</v>
      </c>
      <c r="Q57" s="800">
        <v>0.33581491000000002</v>
      </c>
      <c r="R57" s="800"/>
      <c r="S57" s="799"/>
      <c r="T57" s="524"/>
      <c r="U57" s="800"/>
      <c r="V57" s="524"/>
      <c r="W57" s="524"/>
    </row>
    <row r="58" spans="1:23" outlineLevel="1">
      <c r="A58" s="524"/>
      <c r="B58" s="806"/>
      <c r="C58" s="524"/>
      <c r="D58" s="808" t="s">
        <v>694</v>
      </c>
      <c r="E58" s="806"/>
      <c r="F58" s="803">
        <v>1661125</v>
      </c>
      <c r="G58" s="803">
        <v>0</v>
      </c>
      <c r="H58" s="803">
        <v>0</v>
      </c>
      <c r="I58" s="803">
        <v>0</v>
      </c>
      <c r="J58" s="803"/>
      <c r="K58" s="803">
        <v>0</v>
      </c>
      <c r="L58" s="803">
        <v>1661125</v>
      </c>
      <c r="M58" s="803">
        <v>35187.701440100005</v>
      </c>
      <c r="N58" s="803">
        <v>75040.37285</v>
      </c>
      <c r="O58" s="804">
        <v>0.99838807000000007</v>
      </c>
      <c r="P58" s="804">
        <v>1.0977555991553305</v>
      </c>
      <c r="Q58" s="801"/>
      <c r="R58" s="801"/>
      <c r="S58" s="799"/>
      <c r="T58" s="524"/>
      <c r="U58" s="800"/>
      <c r="V58" s="524"/>
      <c r="W58" s="524"/>
    </row>
    <row r="59" spans="1:23" outlineLevel="1">
      <c r="A59" s="524"/>
      <c r="B59" s="806"/>
      <c r="C59" s="524"/>
      <c r="D59" s="808"/>
      <c r="E59" s="808" t="s">
        <v>763</v>
      </c>
      <c r="F59" s="805"/>
      <c r="G59" s="805"/>
      <c r="H59" s="805"/>
      <c r="I59" s="805"/>
      <c r="J59" s="805"/>
      <c r="K59" s="805"/>
      <c r="L59" s="805"/>
      <c r="M59" s="805"/>
      <c r="N59" s="805"/>
      <c r="O59" s="801"/>
      <c r="P59" s="801"/>
      <c r="Q59" s="801"/>
      <c r="R59" s="801"/>
      <c r="S59" s="799"/>
      <c r="T59" s="524"/>
      <c r="U59" s="800"/>
      <c r="V59" s="524"/>
      <c r="W59" s="524"/>
    </row>
    <row r="60" spans="1:23" outlineLevel="2">
      <c r="A60" s="524">
        <v>34</v>
      </c>
      <c r="B60" s="524" t="s">
        <v>537</v>
      </c>
      <c r="C60" s="524">
        <v>19</v>
      </c>
      <c r="D60" s="524" t="s">
        <v>763</v>
      </c>
      <c r="E60" s="524" t="s">
        <v>138</v>
      </c>
      <c r="F60" s="799">
        <v>23148</v>
      </c>
      <c r="G60" s="799">
        <v>0</v>
      </c>
      <c r="H60" s="799">
        <v>0</v>
      </c>
      <c r="I60" s="799">
        <v>0</v>
      </c>
      <c r="J60" s="799">
        <v>0</v>
      </c>
      <c r="K60" s="799">
        <v>0</v>
      </c>
      <c r="L60" s="799">
        <v>23148</v>
      </c>
      <c r="M60" s="799">
        <v>6839.5261814000005</v>
      </c>
      <c r="N60" s="799">
        <v>11579.787</v>
      </c>
      <c r="O60" s="800">
        <v>0.15406534999999999</v>
      </c>
      <c r="P60" s="800">
        <v>0.16939915852611739</v>
      </c>
      <c r="Q60" s="800">
        <v>2.7907990000000001E-2</v>
      </c>
      <c r="R60" s="800"/>
      <c r="S60" s="799">
        <v>0</v>
      </c>
      <c r="T60" s="524"/>
      <c r="U60" s="800">
        <v>0</v>
      </c>
      <c r="V60" s="524"/>
      <c r="W60" s="524"/>
    </row>
    <row r="61" spans="1:23" outlineLevel="2">
      <c r="A61" s="524">
        <v>35</v>
      </c>
      <c r="B61" s="524" t="s">
        <v>545</v>
      </c>
      <c r="C61" s="524">
        <v>19</v>
      </c>
      <c r="D61" s="524" t="s">
        <v>763</v>
      </c>
      <c r="E61" s="524" t="s">
        <v>516</v>
      </c>
      <c r="F61" s="799">
        <v>1595885</v>
      </c>
      <c r="G61" s="799">
        <v>0</v>
      </c>
      <c r="H61" s="799">
        <v>0</v>
      </c>
      <c r="I61" s="799">
        <v>0</v>
      </c>
      <c r="J61" s="799">
        <v>0</v>
      </c>
      <c r="K61" s="799">
        <v>0</v>
      </c>
      <c r="L61" s="799">
        <v>1595885</v>
      </c>
      <c r="M61" s="799">
        <v>292262.39329019998</v>
      </c>
      <c r="N61" s="799">
        <v>460237.27515</v>
      </c>
      <c r="O61" s="800">
        <v>6.1233092500000001</v>
      </c>
      <c r="P61" s="800">
        <v>6.7327496725771514</v>
      </c>
      <c r="Q61" s="800">
        <v>0.58740073999999998</v>
      </c>
      <c r="R61" s="801"/>
      <c r="S61" s="799"/>
      <c r="T61" s="524"/>
      <c r="U61" s="800"/>
      <c r="V61" s="524"/>
      <c r="W61" s="524"/>
    </row>
    <row r="62" spans="1:23" outlineLevel="2">
      <c r="A62" s="524">
        <v>36</v>
      </c>
      <c r="B62" s="524" t="s">
        <v>572</v>
      </c>
      <c r="C62" s="524">
        <v>19</v>
      </c>
      <c r="D62" s="524" t="s">
        <v>763</v>
      </c>
      <c r="E62" s="524" t="s">
        <v>140</v>
      </c>
      <c r="F62" s="799">
        <v>515149</v>
      </c>
      <c r="G62" s="799">
        <v>0</v>
      </c>
      <c r="H62" s="799">
        <v>0</v>
      </c>
      <c r="I62" s="799">
        <v>0</v>
      </c>
      <c r="J62" s="799">
        <v>0</v>
      </c>
      <c r="K62" s="799">
        <v>0</v>
      </c>
      <c r="L62" s="799">
        <v>515149</v>
      </c>
      <c r="M62" s="799">
        <v>7357.2759999999998</v>
      </c>
      <c r="N62" s="799">
        <v>16191.13307</v>
      </c>
      <c r="O62" s="800">
        <v>0.21541783</v>
      </c>
      <c r="P62" s="800">
        <v>0.23685792473060097</v>
      </c>
      <c r="Q62" s="800">
        <v>8.1226039999999999E-2</v>
      </c>
      <c r="R62" s="801"/>
      <c r="S62" s="799">
        <v>0</v>
      </c>
      <c r="T62" s="524"/>
      <c r="U62" s="800">
        <v>0</v>
      </c>
      <c r="V62" s="524"/>
      <c r="W62" s="524"/>
    </row>
    <row r="63" spans="1:23" outlineLevel="2">
      <c r="A63" s="524">
        <v>37</v>
      </c>
      <c r="B63" s="524" t="s">
        <v>573</v>
      </c>
      <c r="C63" s="524">
        <v>19</v>
      </c>
      <c r="D63" s="524" t="s">
        <v>763</v>
      </c>
      <c r="E63" s="524" t="s">
        <v>530</v>
      </c>
      <c r="F63" s="799">
        <v>254437</v>
      </c>
      <c r="G63" s="799">
        <v>0</v>
      </c>
      <c r="H63" s="799">
        <v>0</v>
      </c>
      <c r="I63" s="799">
        <v>0</v>
      </c>
      <c r="J63" s="799">
        <v>0</v>
      </c>
      <c r="K63" s="799">
        <v>0</v>
      </c>
      <c r="L63" s="799">
        <v>254437</v>
      </c>
      <c r="M63" s="799">
        <v>2593.8098746000001</v>
      </c>
      <c r="N63" s="799">
        <v>9434.5239600000004</v>
      </c>
      <c r="O63" s="800">
        <v>0.12552331</v>
      </c>
      <c r="P63" s="800">
        <v>0.13801639183160216</v>
      </c>
      <c r="Q63" s="800">
        <v>2.8883220000000001E-2</v>
      </c>
      <c r="R63" s="800"/>
      <c r="S63" s="799">
        <v>0</v>
      </c>
      <c r="T63" s="524"/>
      <c r="U63" s="800"/>
      <c r="V63" s="524"/>
      <c r="W63" s="524"/>
    </row>
    <row r="64" spans="1:23" outlineLevel="1">
      <c r="A64" s="524"/>
      <c r="B64" s="524"/>
      <c r="C64" s="524"/>
      <c r="D64" s="808" t="s">
        <v>733</v>
      </c>
      <c r="E64" s="524"/>
      <c r="F64" s="803">
        <v>2388619</v>
      </c>
      <c r="G64" s="803">
        <v>0</v>
      </c>
      <c r="H64" s="803">
        <v>0</v>
      </c>
      <c r="I64" s="803">
        <v>0</v>
      </c>
      <c r="J64" s="803"/>
      <c r="K64" s="803">
        <v>0</v>
      </c>
      <c r="L64" s="803">
        <v>2388619</v>
      </c>
      <c r="M64" s="803">
        <v>309053.00534619996</v>
      </c>
      <c r="N64" s="803">
        <v>497442.71918000001</v>
      </c>
      <c r="O64" s="804">
        <v>6.6183157399999999</v>
      </c>
      <c r="P64" s="804">
        <v>7.2770231476654716</v>
      </c>
      <c r="Q64" s="801"/>
      <c r="R64" s="801"/>
      <c r="S64" s="799"/>
      <c r="T64" s="524"/>
      <c r="U64" s="800"/>
      <c r="V64" s="524"/>
      <c r="W64" s="524"/>
    </row>
    <row r="65" spans="1:23" outlineLevel="1">
      <c r="A65" s="524"/>
      <c r="B65" s="524"/>
      <c r="C65" s="524"/>
      <c r="D65" s="808"/>
      <c r="E65" s="808" t="s">
        <v>704</v>
      </c>
      <c r="F65" s="805"/>
      <c r="G65" s="805"/>
      <c r="H65" s="805"/>
      <c r="I65" s="805"/>
      <c r="J65" s="805"/>
      <c r="K65" s="805"/>
      <c r="L65" s="805"/>
      <c r="M65" s="805"/>
      <c r="N65" s="805"/>
      <c r="O65" s="801"/>
      <c r="P65" s="801"/>
      <c r="Q65" s="801"/>
      <c r="R65" s="801"/>
      <c r="S65" s="799"/>
      <c r="T65" s="524"/>
      <c r="U65" s="800"/>
      <c r="V65" s="524"/>
      <c r="W65" s="524"/>
    </row>
    <row r="66" spans="1:23" outlineLevel="2">
      <c r="A66" s="524">
        <v>38</v>
      </c>
      <c r="B66" s="810" t="s">
        <v>539</v>
      </c>
      <c r="C66" s="524">
        <v>20</v>
      </c>
      <c r="D66" s="524" t="s">
        <v>704</v>
      </c>
      <c r="E66" s="524" t="s">
        <v>514</v>
      </c>
      <c r="F66" s="799">
        <v>533890</v>
      </c>
      <c r="G66" s="799">
        <v>0</v>
      </c>
      <c r="H66" s="799">
        <v>0</v>
      </c>
      <c r="I66" s="799">
        <v>0</v>
      </c>
      <c r="J66" s="799">
        <v>0</v>
      </c>
      <c r="K66" s="799">
        <v>2600</v>
      </c>
      <c r="L66" s="799">
        <v>531290</v>
      </c>
      <c r="M66" s="799">
        <v>46103.714273800004</v>
      </c>
      <c r="N66" s="799">
        <v>192953.90219999998</v>
      </c>
      <c r="O66" s="800">
        <v>2.5671897499999998</v>
      </c>
      <c r="P66" s="800">
        <v>2.822696882681067</v>
      </c>
      <c r="Q66" s="800">
        <v>0.48189568999999999</v>
      </c>
      <c r="R66" s="801"/>
      <c r="S66" s="799">
        <v>0</v>
      </c>
      <c r="T66" s="524"/>
      <c r="U66" s="800"/>
      <c r="V66" s="524"/>
      <c r="W66" s="524"/>
    </row>
    <row r="67" spans="1:23" outlineLevel="2">
      <c r="A67" s="524">
        <v>39</v>
      </c>
      <c r="B67" s="524" t="s">
        <v>541</v>
      </c>
      <c r="C67" s="524">
        <v>20</v>
      </c>
      <c r="D67" s="524" t="s">
        <v>704</v>
      </c>
      <c r="E67" s="524" t="s">
        <v>515</v>
      </c>
      <c r="F67" s="799">
        <v>1330401</v>
      </c>
      <c r="G67" s="799">
        <v>0</v>
      </c>
      <c r="H67" s="799">
        <v>0</v>
      </c>
      <c r="I67" s="799">
        <v>0</v>
      </c>
      <c r="J67" s="799">
        <v>0</v>
      </c>
      <c r="K67" s="799">
        <v>0</v>
      </c>
      <c r="L67" s="799">
        <v>1330401</v>
      </c>
      <c r="M67" s="799">
        <v>149124.6479564</v>
      </c>
      <c r="N67" s="799">
        <v>165861.09266999998</v>
      </c>
      <c r="O67" s="800">
        <v>2.2067286099999999</v>
      </c>
      <c r="P67" s="800">
        <v>2.4263597880099499</v>
      </c>
      <c r="Q67" s="800">
        <v>3.0932879999999999E-2</v>
      </c>
      <c r="R67" s="800"/>
      <c r="S67" s="799">
        <v>0</v>
      </c>
      <c r="T67" s="524"/>
      <c r="U67" s="800"/>
      <c r="V67" s="524"/>
      <c r="W67" s="524"/>
    </row>
    <row r="68" spans="1:23" outlineLevel="2">
      <c r="A68" s="524">
        <v>40</v>
      </c>
      <c r="B68" s="524" t="s">
        <v>542</v>
      </c>
      <c r="C68" s="524">
        <v>20</v>
      </c>
      <c r="D68" s="524" t="s">
        <v>704</v>
      </c>
      <c r="E68" s="524" t="s">
        <v>144</v>
      </c>
      <c r="F68" s="799">
        <v>659760</v>
      </c>
      <c r="G68" s="799">
        <v>15000</v>
      </c>
      <c r="H68" s="799">
        <v>0</v>
      </c>
      <c r="I68" s="799">
        <v>0</v>
      </c>
      <c r="J68" s="799">
        <v>0</v>
      </c>
      <c r="K68" s="799">
        <v>10000</v>
      </c>
      <c r="L68" s="799">
        <v>664760</v>
      </c>
      <c r="M68" s="799">
        <v>163440.20429240001</v>
      </c>
      <c r="N68" s="799">
        <v>195392.90680000003</v>
      </c>
      <c r="O68" s="800">
        <v>2.59963992</v>
      </c>
      <c r="P68" s="800">
        <v>2.8583767554525901</v>
      </c>
      <c r="Q68" s="800">
        <v>0.28102790999999999</v>
      </c>
      <c r="R68" s="801"/>
      <c r="S68" s="799">
        <v>0</v>
      </c>
      <c r="T68" s="524"/>
      <c r="U68" s="800">
        <v>0</v>
      </c>
      <c r="V68" s="524"/>
      <c r="W68" s="524"/>
    </row>
    <row r="69" spans="1:23" outlineLevel="2">
      <c r="A69" s="524">
        <v>41</v>
      </c>
      <c r="B69" s="524" t="s">
        <v>543</v>
      </c>
      <c r="C69" s="524">
        <v>20</v>
      </c>
      <c r="D69" s="524" t="s">
        <v>704</v>
      </c>
      <c r="E69" s="524" t="s">
        <v>145</v>
      </c>
      <c r="F69" s="799">
        <v>2247738</v>
      </c>
      <c r="G69" s="799">
        <v>0</v>
      </c>
      <c r="H69" s="799">
        <v>0</v>
      </c>
      <c r="I69" s="799">
        <v>0</v>
      </c>
      <c r="J69" s="799">
        <v>0</v>
      </c>
      <c r="K69" s="799">
        <v>20000</v>
      </c>
      <c r="L69" s="799">
        <v>2227738</v>
      </c>
      <c r="M69" s="799">
        <v>230658.4072059</v>
      </c>
      <c r="N69" s="799">
        <v>265412.70532000001</v>
      </c>
      <c r="O69" s="800">
        <v>3.5312308699999999</v>
      </c>
      <c r="P69" s="800">
        <v>3.8826870428055678</v>
      </c>
      <c r="Q69" s="800">
        <v>0.11298474999999999</v>
      </c>
      <c r="R69" s="801"/>
      <c r="S69" s="799"/>
      <c r="T69" s="524"/>
      <c r="U69" s="800"/>
      <c r="V69" s="524"/>
      <c r="W69" s="524"/>
    </row>
    <row r="70" spans="1:23" outlineLevel="1">
      <c r="A70" s="524"/>
      <c r="B70" s="524"/>
      <c r="C70" s="524"/>
      <c r="D70" s="808" t="s">
        <v>695</v>
      </c>
      <c r="E70" s="524"/>
      <c r="F70" s="803">
        <v>4771789</v>
      </c>
      <c r="G70" s="803">
        <v>15000</v>
      </c>
      <c r="H70" s="803">
        <v>0</v>
      </c>
      <c r="I70" s="803">
        <v>0</v>
      </c>
      <c r="J70" s="803"/>
      <c r="K70" s="803">
        <v>32600</v>
      </c>
      <c r="L70" s="803">
        <v>4754189</v>
      </c>
      <c r="M70" s="803">
        <v>589326.97372850007</v>
      </c>
      <c r="N70" s="803">
        <v>819620.60699</v>
      </c>
      <c r="O70" s="804">
        <v>10.904789149999999</v>
      </c>
      <c r="P70" s="804">
        <v>11.990120468949176</v>
      </c>
      <c r="Q70" s="801"/>
      <c r="R70" s="801"/>
      <c r="S70" s="799"/>
      <c r="T70" s="524"/>
      <c r="U70" s="800"/>
      <c r="V70" s="524"/>
      <c r="W70" s="524"/>
    </row>
    <row r="71" spans="1:23" outlineLevel="1">
      <c r="A71" s="524"/>
      <c r="B71" s="524"/>
      <c r="C71" s="524"/>
      <c r="D71" s="808"/>
      <c r="E71" s="808" t="s">
        <v>764</v>
      </c>
      <c r="F71" s="805"/>
      <c r="G71" s="805"/>
      <c r="H71" s="805"/>
      <c r="I71" s="805"/>
      <c r="J71" s="805"/>
      <c r="K71" s="805"/>
      <c r="L71" s="805"/>
      <c r="M71" s="805"/>
      <c r="N71" s="805"/>
      <c r="O71" s="801"/>
      <c r="P71" s="801"/>
      <c r="Q71" s="801"/>
      <c r="R71" s="801"/>
      <c r="S71" s="799"/>
      <c r="T71" s="524"/>
      <c r="U71" s="800"/>
      <c r="V71" s="524"/>
      <c r="W71" s="524"/>
    </row>
    <row r="72" spans="1:23" outlineLevel="2">
      <c r="A72" s="524">
        <v>42</v>
      </c>
      <c r="B72" s="811" t="s">
        <v>555</v>
      </c>
      <c r="C72" s="524">
        <v>21</v>
      </c>
      <c r="D72" s="524" t="s">
        <v>764</v>
      </c>
      <c r="E72" s="807" t="s">
        <v>474</v>
      </c>
      <c r="F72" s="812">
        <v>228500</v>
      </c>
      <c r="G72" s="799">
        <v>0</v>
      </c>
      <c r="H72" s="799">
        <v>0</v>
      </c>
      <c r="I72" s="799">
        <v>0</v>
      </c>
      <c r="J72" s="799">
        <v>0</v>
      </c>
      <c r="K72" s="799">
        <v>107500</v>
      </c>
      <c r="L72" s="799">
        <v>121000</v>
      </c>
      <c r="M72" s="799">
        <v>855.47</v>
      </c>
      <c r="N72" s="799">
        <v>945.01</v>
      </c>
      <c r="O72" s="800">
        <v>1.2573050000000001E-2</v>
      </c>
      <c r="P72" s="800">
        <v>1.3824425164190515E-2</v>
      </c>
      <c r="Q72" s="800">
        <v>4.4721940000000002E-2</v>
      </c>
      <c r="R72" s="800"/>
      <c r="S72" s="799">
        <v>0</v>
      </c>
      <c r="T72" s="524"/>
      <c r="U72" s="800">
        <v>0</v>
      </c>
      <c r="V72" s="524"/>
      <c r="W72" s="524"/>
    </row>
    <row r="73" spans="1:23" outlineLevel="2">
      <c r="A73" s="524">
        <v>43</v>
      </c>
      <c r="B73" s="811" t="s">
        <v>556</v>
      </c>
      <c r="C73" s="524">
        <v>21</v>
      </c>
      <c r="D73" s="524" t="s">
        <v>764</v>
      </c>
      <c r="E73" s="524" t="s">
        <v>520</v>
      </c>
      <c r="F73" s="812">
        <v>228762</v>
      </c>
      <c r="G73" s="799">
        <v>0</v>
      </c>
      <c r="H73" s="799">
        <v>0</v>
      </c>
      <c r="I73" s="799">
        <v>0</v>
      </c>
      <c r="J73" s="799">
        <v>0</v>
      </c>
      <c r="K73" s="799">
        <v>0</v>
      </c>
      <c r="L73" s="799">
        <v>228762</v>
      </c>
      <c r="M73" s="799">
        <v>3918.1717880000001</v>
      </c>
      <c r="N73" s="799">
        <v>18991.821239999997</v>
      </c>
      <c r="O73" s="800">
        <v>0.25268009000000002</v>
      </c>
      <c r="P73" s="800">
        <v>0.27782881817553662</v>
      </c>
      <c r="Q73" s="800">
        <v>0.36834122000000002</v>
      </c>
      <c r="R73" s="800"/>
      <c r="S73" s="799">
        <v>0</v>
      </c>
      <c r="T73" s="524"/>
      <c r="U73" s="800">
        <v>0</v>
      </c>
      <c r="V73" s="524"/>
      <c r="W73" s="524"/>
    </row>
    <row r="74" spans="1:23" ht="31.5" outlineLevel="2">
      <c r="A74" s="813">
        <v>44</v>
      </c>
      <c r="B74" s="814" t="s">
        <v>734</v>
      </c>
      <c r="C74" s="524">
        <v>21</v>
      </c>
      <c r="D74" s="524"/>
      <c r="E74" s="815" t="s">
        <v>735</v>
      </c>
      <c r="F74" s="812"/>
      <c r="G74" s="799">
        <v>0</v>
      </c>
      <c r="H74" s="799">
        <v>0</v>
      </c>
      <c r="I74" s="799">
        <v>57190</v>
      </c>
      <c r="J74" s="799">
        <v>0</v>
      </c>
      <c r="K74" s="799">
        <v>0</v>
      </c>
      <c r="L74" s="799">
        <v>57190</v>
      </c>
      <c r="M74" s="799">
        <v>0</v>
      </c>
      <c r="N74" s="799">
        <v>1430.8938000000001</v>
      </c>
      <c r="O74" s="800">
        <v>1.9037579999999998E-2</v>
      </c>
      <c r="P74" s="800">
        <v>2.0932354425883527E-2</v>
      </c>
      <c r="Q74" s="800">
        <v>0.38126666999999997</v>
      </c>
      <c r="R74" s="800"/>
      <c r="S74" s="799"/>
      <c r="T74" s="524"/>
      <c r="U74" s="800"/>
      <c r="V74" s="524"/>
      <c r="W74" s="524"/>
    </row>
    <row r="75" spans="1:23" outlineLevel="2">
      <c r="A75" s="524">
        <v>45</v>
      </c>
      <c r="B75" s="524" t="s">
        <v>557</v>
      </c>
      <c r="C75" s="524">
        <v>21</v>
      </c>
      <c r="D75" s="524" t="s">
        <v>764</v>
      </c>
      <c r="E75" s="524" t="s">
        <v>447</v>
      </c>
      <c r="F75" s="799">
        <v>1824500</v>
      </c>
      <c r="G75" s="799">
        <v>0</v>
      </c>
      <c r="H75" s="799">
        <v>0</v>
      </c>
      <c r="I75" s="799">
        <v>0</v>
      </c>
      <c r="J75" s="799">
        <v>0</v>
      </c>
      <c r="K75" s="799">
        <v>0</v>
      </c>
      <c r="L75" s="799">
        <v>1824500</v>
      </c>
      <c r="M75" s="799">
        <v>19157.25</v>
      </c>
      <c r="N75" s="799">
        <v>47838.39</v>
      </c>
      <c r="O75" s="800">
        <v>0.63647443000000004</v>
      </c>
      <c r="P75" s="800">
        <v>0.69982142255675583</v>
      </c>
      <c r="Q75" s="800">
        <v>0.41942529000000001</v>
      </c>
      <c r="R75" s="800"/>
      <c r="S75" s="799">
        <v>0</v>
      </c>
      <c r="T75" s="524"/>
      <c r="U75" s="800">
        <v>0</v>
      </c>
      <c r="V75" s="524"/>
      <c r="W75" s="524"/>
    </row>
    <row r="76" spans="1:23" outlineLevel="1">
      <c r="A76" s="524"/>
      <c r="B76" s="524"/>
      <c r="C76" s="524"/>
      <c r="D76" s="808" t="s">
        <v>736</v>
      </c>
      <c r="E76" s="524"/>
      <c r="F76" s="803">
        <v>2281762</v>
      </c>
      <c r="G76" s="803">
        <v>0</v>
      </c>
      <c r="H76" s="803">
        <v>0</v>
      </c>
      <c r="I76" s="803">
        <v>57190</v>
      </c>
      <c r="J76" s="803"/>
      <c r="K76" s="803">
        <v>107500</v>
      </c>
      <c r="L76" s="803">
        <v>2231452</v>
      </c>
      <c r="M76" s="803">
        <v>23930.891788000001</v>
      </c>
      <c r="N76" s="803">
        <v>69206.115040000004</v>
      </c>
      <c r="O76" s="804">
        <v>0.92076515000000003</v>
      </c>
      <c r="P76" s="804">
        <v>1.0124070203223665</v>
      </c>
      <c r="Q76" s="801"/>
      <c r="R76" s="801"/>
      <c r="S76" s="799"/>
      <c r="T76" s="524"/>
      <c r="U76" s="800"/>
      <c r="V76" s="524"/>
      <c r="W76" s="524"/>
    </row>
    <row r="77" spans="1:23" outlineLevel="1">
      <c r="A77" s="524"/>
      <c r="B77" s="524"/>
      <c r="C77" s="524"/>
      <c r="D77" s="808"/>
      <c r="E77" s="808" t="s">
        <v>737</v>
      </c>
      <c r="F77" s="805"/>
      <c r="G77" s="805"/>
      <c r="H77" s="805"/>
      <c r="I77" s="805"/>
      <c r="J77" s="805"/>
      <c r="K77" s="805"/>
      <c r="L77" s="805"/>
      <c r="M77" s="805"/>
      <c r="N77" s="805"/>
      <c r="O77" s="801"/>
      <c r="P77" s="801"/>
      <c r="Q77" s="801"/>
      <c r="R77" s="801"/>
      <c r="S77" s="799"/>
      <c r="T77" s="524"/>
      <c r="U77" s="800"/>
      <c r="V77" s="524"/>
      <c r="W77" s="524"/>
    </row>
    <row r="78" spans="1:23" outlineLevel="2">
      <c r="A78" s="524">
        <v>46</v>
      </c>
      <c r="B78" s="806" t="s">
        <v>564</v>
      </c>
      <c r="C78" s="524">
        <v>22</v>
      </c>
      <c r="D78" s="524" t="s">
        <v>737</v>
      </c>
      <c r="E78" s="807" t="s">
        <v>524</v>
      </c>
      <c r="F78" s="799">
        <v>60583</v>
      </c>
      <c r="G78" s="799">
        <v>0</v>
      </c>
      <c r="H78" s="799">
        <v>0</v>
      </c>
      <c r="I78" s="799">
        <v>0</v>
      </c>
      <c r="J78" s="799">
        <v>0</v>
      </c>
      <c r="K78" s="799">
        <v>0</v>
      </c>
      <c r="L78" s="799">
        <v>60583</v>
      </c>
      <c r="M78" s="799">
        <v>26011.9536816</v>
      </c>
      <c r="N78" s="799">
        <v>37844.988440000001</v>
      </c>
      <c r="O78" s="800">
        <v>0.50351542999999999</v>
      </c>
      <c r="P78" s="800">
        <v>0.5536292849053821</v>
      </c>
      <c r="Q78" s="800">
        <v>0.13677935999999999</v>
      </c>
      <c r="R78" s="801"/>
      <c r="S78" s="799"/>
      <c r="T78" s="524"/>
      <c r="U78" s="800"/>
      <c r="V78" s="524"/>
      <c r="W78" s="524"/>
    </row>
    <row r="79" spans="1:23" outlineLevel="2">
      <c r="A79" s="524">
        <v>47</v>
      </c>
      <c r="B79" s="709" t="s">
        <v>15</v>
      </c>
      <c r="C79" s="767">
        <v>22</v>
      </c>
      <c r="D79" s="709" t="s">
        <v>737</v>
      </c>
      <c r="E79" s="807" t="s">
        <v>156</v>
      </c>
      <c r="F79" s="799">
        <v>23900</v>
      </c>
      <c r="G79" s="799">
        <v>0</v>
      </c>
      <c r="H79" s="799">
        <v>0</v>
      </c>
      <c r="I79" s="799">
        <v>0</v>
      </c>
      <c r="J79" s="799">
        <v>0</v>
      </c>
      <c r="K79" s="799">
        <v>0</v>
      </c>
      <c r="L79" s="799">
        <v>23900</v>
      </c>
      <c r="M79" s="799">
        <v>23933.460000799998</v>
      </c>
      <c r="N79" s="799">
        <v>23933.46</v>
      </c>
      <c r="O79" s="800">
        <v>0.31842700000000002</v>
      </c>
      <c r="P79" s="800">
        <v>0.35011939205949894</v>
      </c>
      <c r="Q79" s="800">
        <v>3.0407119999999999E-2</v>
      </c>
      <c r="R79" s="801"/>
      <c r="S79" s="799"/>
      <c r="T79" s="524"/>
      <c r="U79" s="800"/>
      <c r="V79" s="524"/>
      <c r="W79" s="524"/>
    </row>
    <row r="80" spans="1:23" outlineLevel="2">
      <c r="A80" s="524">
        <v>48</v>
      </c>
      <c r="B80" s="806" t="s">
        <v>565</v>
      </c>
      <c r="C80" s="524">
        <v>22</v>
      </c>
      <c r="D80" s="524" t="s">
        <v>737</v>
      </c>
      <c r="E80" s="524" t="s">
        <v>525</v>
      </c>
      <c r="F80" s="799">
        <v>530723</v>
      </c>
      <c r="G80" s="799">
        <v>0</v>
      </c>
      <c r="H80" s="799">
        <v>0</v>
      </c>
      <c r="I80" s="799">
        <v>0</v>
      </c>
      <c r="J80" s="799">
        <v>0</v>
      </c>
      <c r="K80" s="799">
        <v>0</v>
      </c>
      <c r="L80" s="799">
        <v>530723</v>
      </c>
      <c r="M80" s="799">
        <v>44073.849439099999</v>
      </c>
      <c r="N80" s="799">
        <v>220021.83411000003</v>
      </c>
      <c r="O80" s="800">
        <v>2.9273199000000001</v>
      </c>
      <c r="P80" s="800">
        <v>3.2186700459694979</v>
      </c>
      <c r="Q80" s="800">
        <v>0.64486507999999998</v>
      </c>
      <c r="R80" s="800"/>
      <c r="S80" s="799">
        <v>0</v>
      </c>
      <c r="T80" s="524"/>
      <c r="U80" s="800">
        <v>0</v>
      </c>
      <c r="V80" s="524"/>
      <c r="W80" s="524"/>
    </row>
    <row r="81" spans="1:23" outlineLevel="1">
      <c r="A81" s="524"/>
      <c r="B81" s="806"/>
      <c r="C81" s="524"/>
      <c r="D81" s="808" t="s">
        <v>738</v>
      </c>
      <c r="E81" s="524"/>
      <c r="F81" s="803">
        <v>615206</v>
      </c>
      <c r="G81" s="803">
        <v>0</v>
      </c>
      <c r="H81" s="803">
        <v>0</v>
      </c>
      <c r="I81" s="803">
        <v>0</v>
      </c>
      <c r="J81" s="803"/>
      <c r="K81" s="803">
        <v>0</v>
      </c>
      <c r="L81" s="803">
        <v>615206</v>
      </c>
      <c r="M81" s="803">
        <v>94019.2631215</v>
      </c>
      <c r="N81" s="803">
        <v>281800.28255</v>
      </c>
      <c r="O81" s="804">
        <v>3.7492623300000001</v>
      </c>
      <c r="P81" s="804">
        <v>4.1224187229343787</v>
      </c>
      <c r="Q81" s="801"/>
      <c r="R81" s="801"/>
      <c r="S81" s="799"/>
      <c r="T81" s="524"/>
      <c r="U81" s="800"/>
      <c r="V81" s="524"/>
      <c r="W81" s="524"/>
    </row>
    <row r="82" spans="1:23" outlineLevel="1">
      <c r="A82" s="524"/>
      <c r="B82" s="806"/>
      <c r="C82" s="524"/>
      <c r="D82" s="808"/>
      <c r="E82" s="712" t="s">
        <v>739</v>
      </c>
      <c r="F82" s="805"/>
      <c r="G82" s="805"/>
      <c r="H82" s="805"/>
      <c r="I82" s="805"/>
      <c r="J82" s="805"/>
      <c r="K82" s="805"/>
      <c r="L82" s="805"/>
      <c r="M82" s="805"/>
      <c r="N82" s="805"/>
      <c r="O82" s="801"/>
      <c r="P82" s="801"/>
      <c r="Q82" s="801"/>
      <c r="R82" s="801"/>
      <c r="S82" s="799"/>
      <c r="T82" s="524"/>
      <c r="U82" s="800"/>
      <c r="V82" s="524"/>
      <c r="W82" s="524"/>
    </row>
    <row r="83" spans="1:23" outlineLevel="1">
      <c r="A83" s="524">
        <v>49</v>
      </c>
      <c r="B83" s="709" t="s">
        <v>740</v>
      </c>
      <c r="C83" s="524">
        <v>23</v>
      </c>
      <c r="D83" s="524" t="e">
        <v>#N/A</v>
      </c>
      <c r="E83" s="524" t="s">
        <v>741</v>
      </c>
      <c r="F83" s="799">
        <v>0</v>
      </c>
      <c r="G83" s="799">
        <v>16000</v>
      </c>
      <c r="H83" s="799">
        <v>0</v>
      </c>
      <c r="I83" s="799">
        <v>0</v>
      </c>
      <c r="J83" s="799">
        <v>0</v>
      </c>
      <c r="K83" s="799">
        <v>0</v>
      </c>
      <c r="L83" s="799">
        <v>16000</v>
      </c>
      <c r="M83" s="799">
        <v>2460.17083</v>
      </c>
      <c r="N83" s="799">
        <v>2303.6799999999998</v>
      </c>
      <c r="O83" s="800">
        <v>3.0649719999999998E-2</v>
      </c>
      <c r="P83" s="800">
        <v>3.3700227259227312E-2</v>
      </c>
      <c r="Q83" s="800">
        <v>2.6768699999999999E-2</v>
      </c>
      <c r="R83" s="801"/>
      <c r="S83" s="799"/>
      <c r="T83" s="524"/>
      <c r="U83" s="800"/>
      <c r="V83" s="524"/>
      <c r="W83" s="524"/>
    </row>
    <row r="84" spans="1:23" outlineLevel="1">
      <c r="A84" s="524"/>
      <c r="B84" s="806"/>
      <c r="C84" s="524"/>
      <c r="D84" s="808" t="s">
        <v>738</v>
      </c>
      <c r="E84" s="524"/>
      <c r="F84" s="803">
        <v>615206</v>
      </c>
      <c r="G84" s="803">
        <v>16000</v>
      </c>
      <c r="H84" s="803">
        <v>0</v>
      </c>
      <c r="I84" s="803">
        <v>0</v>
      </c>
      <c r="J84" s="803"/>
      <c r="K84" s="803">
        <v>0</v>
      </c>
      <c r="L84" s="803">
        <v>16000</v>
      </c>
      <c r="M84" s="803">
        <v>2460.17083</v>
      </c>
      <c r="N84" s="803">
        <v>2303.6799999999998</v>
      </c>
      <c r="O84" s="804">
        <v>3.0649719999999998E-2</v>
      </c>
      <c r="P84" s="804">
        <v>3.3700227259227312E-2</v>
      </c>
      <c r="Q84" s="801"/>
      <c r="R84" s="801"/>
      <c r="S84" s="799"/>
      <c r="T84" s="524"/>
      <c r="U84" s="800"/>
      <c r="V84" s="524"/>
      <c r="W84" s="524"/>
    </row>
    <row r="85" spans="1:23" outlineLevel="1">
      <c r="A85" s="524"/>
      <c r="B85" s="806"/>
      <c r="C85" s="524"/>
      <c r="D85" s="808"/>
      <c r="E85" s="816" t="s">
        <v>743</v>
      </c>
      <c r="F85" s="805"/>
      <c r="G85" s="805"/>
      <c r="H85" s="805"/>
      <c r="I85" s="805"/>
      <c r="J85" s="805"/>
      <c r="K85" s="805"/>
      <c r="L85" s="805"/>
      <c r="M85" s="805"/>
      <c r="N85" s="805"/>
      <c r="O85" s="801"/>
      <c r="P85" s="801"/>
      <c r="Q85" s="801"/>
      <c r="R85" s="801"/>
      <c r="S85" s="799"/>
      <c r="T85" s="524"/>
      <c r="U85" s="800"/>
      <c r="V85" s="524"/>
      <c r="W85" s="524"/>
    </row>
    <row r="86" spans="1:23" outlineLevel="1">
      <c r="A86" s="524">
        <v>50</v>
      </c>
      <c r="B86" s="709" t="s">
        <v>742</v>
      </c>
      <c r="C86" s="767">
        <v>52</v>
      </c>
      <c r="D86" s="709" t="s">
        <v>743</v>
      </c>
      <c r="E86" s="524" t="s">
        <v>765</v>
      </c>
      <c r="F86" s="799">
        <v>10360</v>
      </c>
      <c r="G86" s="799">
        <v>0</v>
      </c>
      <c r="H86" s="799">
        <v>0</v>
      </c>
      <c r="I86" s="799">
        <v>0</v>
      </c>
      <c r="J86" s="799">
        <v>0</v>
      </c>
      <c r="K86" s="799">
        <v>0</v>
      </c>
      <c r="L86" s="799">
        <v>10360</v>
      </c>
      <c r="M86" s="799">
        <v>12775.111076900001</v>
      </c>
      <c r="N86" s="799">
        <v>11354.56</v>
      </c>
      <c r="O86" s="800">
        <v>0.15106878000000001</v>
      </c>
      <c r="P86" s="800">
        <v>0.16610434280305081</v>
      </c>
      <c r="Q86" s="800">
        <v>0.12562144</v>
      </c>
      <c r="R86" s="800" t="e">
        <v>#N/A</v>
      </c>
      <c r="S86" s="799"/>
      <c r="T86" s="524"/>
      <c r="U86" s="800"/>
      <c r="V86" s="524"/>
      <c r="W86" s="524"/>
    </row>
    <row r="87" spans="1:23" outlineLevel="1">
      <c r="A87" s="524"/>
      <c r="B87" s="806"/>
      <c r="C87" s="524"/>
      <c r="D87" s="524"/>
      <c r="E87" s="712"/>
      <c r="F87" s="803">
        <v>10360</v>
      </c>
      <c r="G87" s="803">
        <v>0</v>
      </c>
      <c r="H87" s="803">
        <v>0</v>
      </c>
      <c r="I87" s="803">
        <v>0</v>
      </c>
      <c r="J87" s="803"/>
      <c r="K87" s="803">
        <v>0</v>
      </c>
      <c r="L87" s="803">
        <v>10360</v>
      </c>
      <c r="M87" s="803">
        <v>12775.111076900001</v>
      </c>
      <c r="N87" s="803">
        <v>11354.56</v>
      </c>
      <c r="O87" s="804">
        <v>0.15106878000000001</v>
      </c>
      <c r="P87" s="804">
        <v>0.16610434280305081</v>
      </c>
      <c r="Q87" s="801"/>
      <c r="R87" s="801"/>
      <c r="S87" s="799"/>
      <c r="T87" s="524"/>
      <c r="U87" s="800"/>
      <c r="V87" s="524"/>
      <c r="W87" s="524"/>
    </row>
    <row r="88" spans="1:23" outlineLevel="1">
      <c r="A88" s="524"/>
      <c r="B88" s="806"/>
      <c r="C88" s="524"/>
      <c r="D88" s="524"/>
      <c r="E88" s="808" t="s">
        <v>7</v>
      </c>
      <c r="F88" s="524"/>
      <c r="G88" s="805"/>
      <c r="H88" s="805"/>
      <c r="I88" s="805"/>
      <c r="J88" s="805"/>
      <c r="K88" s="805"/>
      <c r="L88" s="805"/>
      <c r="M88" s="805"/>
      <c r="N88" s="805"/>
      <c r="O88" s="805"/>
      <c r="P88" s="801"/>
      <c r="Q88" s="801"/>
      <c r="R88" s="801"/>
      <c r="S88" s="799"/>
      <c r="T88" s="524"/>
      <c r="U88" s="800"/>
      <c r="V88" s="524"/>
      <c r="W88" s="524"/>
    </row>
    <row r="89" spans="1:23" outlineLevel="2">
      <c r="A89" s="524">
        <v>51</v>
      </c>
      <c r="B89" s="524" t="s">
        <v>570</v>
      </c>
      <c r="C89" s="524">
        <v>26</v>
      </c>
      <c r="D89" s="524" t="s">
        <v>7</v>
      </c>
      <c r="E89" s="524" t="s">
        <v>527</v>
      </c>
      <c r="F89" s="799">
        <v>3451639</v>
      </c>
      <c r="G89" s="799">
        <v>0</v>
      </c>
      <c r="H89" s="799">
        <v>0</v>
      </c>
      <c r="I89" s="799">
        <v>0</v>
      </c>
      <c r="J89" s="799">
        <v>0</v>
      </c>
      <c r="K89" s="799">
        <v>0</v>
      </c>
      <c r="L89" s="799">
        <v>3451639</v>
      </c>
      <c r="M89" s="799">
        <v>37674.7406624</v>
      </c>
      <c r="N89" s="799">
        <v>60024.002209999999</v>
      </c>
      <c r="O89" s="800">
        <v>0.79860008999999998</v>
      </c>
      <c r="P89" s="800">
        <v>0.87808311722346966</v>
      </c>
      <c r="Q89" s="800">
        <v>9.1458369999999997E-2</v>
      </c>
      <c r="R89" s="800"/>
      <c r="S89" s="805">
        <v>0</v>
      </c>
      <c r="T89" s="524"/>
      <c r="U89" s="801"/>
      <c r="V89" s="524"/>
      <c r="W89" s="524"/>
    </row>
    <row r="90" spans="1:23" outlineLevel="1">
      <c r="A90" s="524"/>
      <c r="B90" s="524"/>
      <c r="C90" s="524"/>
      <c r="D90" s="808" t="s">
        <v>7</v>
      </c>
      <c r="E90" s="524"/>
      <c r="F90" s="803">
        <v>3451639</v>
      </c>
      <c r="G90" s="803">
        <v>0</v>
      </c>
      <c r="H90" s="803">
        <v>0</v>
      </c>
      <c r="I90" s="803">
        <v>0</v>
      </c>
      <c r="J90" s="803"/>
      <c r="K90" s="803">
        <v>0</v>
      </c>
      <c r="L90" s="803">
        <v>3451639</v>
      </c>
      <c r="M90" s="803">
        <v>37674.7406624</v>
      </c>
      <c r="N90" s="803">
        <v>60024.002209999999</v>
      </c>
      <c r="O90" s="804">
        <v>0.79860008999999998</v>
      </c>
      <c r="P90" s="804">
        <v>0.87808311722346966</v>
      </c>
      <c r="Q90" s="801"/>
      <c r="R90" s="801"/>
      <c r="S90" s="805"/>
      <c r="T90" s="524"/>
      <c r="U90" s="801"/>
      <c r="V90" s="524"/>
      <c r="W90" s="524"/>
    </row>
    <row r="91" spans="1:23" outlineLevel="1">
      <c r="A91" s="524"/>
      <c r="B91" s="524"/>
      <c r="C91" s="524"/>
      <c r="D91" s="808"/>
      <c r="E91" s="808" t="s">
        <v>705</v>
      </c>
      <c r="F91" s="805"/>
      <c r="G91" s="805"/>
      <c r="H91" s="805"/>
      <c r="I91" s="805"/>
      <c r="J91" s="805"/>
      <c r="K91" s="805"/>
      <c r="L91" s="805"/>
      <c r="M91" s="805"/>
      <c r="N91" s="805"/>
      <c r="O91" s="801"/>
      <c r="P91" s="801"/>
      <c r="Q91" s="801"/>
      <c r="R91" s="801"/>
      <c r="S91" s="805"/>
      <c r="T91" s="524"/>
      <c r="U91" s="801"/>
      <c r="V91" s="524"/>
      <c r="W91" s="524"/>
    </row>
    <row r="92" spans="1:23" outlineLevel="2">
      <c r="A92" s="524">
        <v>52</v>
      </c>
      <c r="B92" s="524" t="s">
        <v>547</v>
      </c>
      <c r="C92" s="524">
        <v>27</v>
      </c>
      <c r="D92" s="524" t="s">
        <v>705</v>
      </c>
      <c r="E92" s="524" t="s">
        <v>452</v>
      </c>
      <c r="F92" s="799">
        <v>2161142</v>
      </c>
      <c r="G92" s="799">
        <v>0</v>
      </c>
      <c r="H92" s="799">
        <v>0</v>
      </c>
      <c r="I92" s="799">
        <v>0</v>
      </c>
      <c r="J92" s="799">
        <v>0</v>
      </c>
      <c r="K92" s="799">
        <v>0</v>
      </c>
      <c r="L92" s="799">
        <v>2161142</v>
      </c>
      <c r="M92" s="799">
        <v>196576.45301289999</v>
      </c>
      <c r="N92" s="799">
        <v>644841.54996000009</v>
      </c>
      <c r="O92" s="800">
        <v>8.5794098900000009</v>
      </c>
      <c r="P92" s="800">
        <v>9.4333009705533701</v>
      </c>
      <c r="Q92" s="800">
        <v>0.41804036</v>
      </c>
      <c r="R92" s="800"/>
      <c r="S92" s="799">
        <v>0</v>
      </c>
      <c r="T92" s="524"/>
      <c r="U92" s="800">
        <v>0</v>
      </c>
      <c r="V92" s="524"/>
      <c r="W92" s="524"/>
    </row>
    <row r="93" spans="1:23" outlineLevel="2">
      <c r="A93" s="524">
        <v>53</v>
      </c>
      <c r="B93" s="806" t="s">
        <v>548</v>
      </c>
      <c r="C93" s="524">
        <v>27</v>
      </c>
      <c r="D93" s="524" t="s">
        <v>705</v>
      </c>
      <c r="E93" s="524" t="s">
        <v>517</v>
      </c>
      <c r="F93" s="799">
        <v>1554614</v>
      </c>
      <c r="G93" s="799">
        <v>0</v>
      </c>
      <c r="H93" s="799">
        <v>0</v>
      </c>
      <c r="I93" s="799">
        <v>0</v>
      </c>
      <c r="J93" s="799">
        <v>0</v>
      </c>
      <c r="K93" s="799">
        <v>0</v>
      </c>
      <c r="L93" s="799">
        <v>1554614</v>
      </c>
      <c r="M93" s="799">
        <v>89992.043532399999</v>
      </c>
      <c r="N93" s="799">
        <v>139604.33719999998</v>
      </c>
      <c r="O93" s="800">
        <v>1.8573909099999999</v>
      </c>
      <c r="P93" s="800">
        <v>2.0422532165985734</v>
      </c>
      <c r="Q93" s="800">
        <v>0.11978841</v>
      </c>
      <c r="R93" s="800"/>
      <c r="S93" s="799">
        <v>0</v>
      </c>
      <c r="T93" s="524"/>
      <c r="U93" s="800">
        <v>0</v>
      </c>
      <c r="V93" s="524"/>
      <c r="W93" s="524"/>
    </row>
    <row r="94" spans="1:23" outlineLevel="2">
      <c r="A94" s="524">
        <v>54</v>
      </c>
      <c r="B94" s="810" t="s">
        <v>551</v>
      </c>
      <c r="C94" s="524">
        <v>27</v>
      </c>
      <c r="D94" s="524" t="s">
        <v>705</v>
      </c>
      <c r="E94" s="524" t="s">
        <v>473</v>
      </c>
      <c r="F94" s="799">
        <v>1217500</v>
      </c>
      <c r="G94" s="799">
        <v>0</v>
      </c>
      <c r="H94" s="799">
        <v>0</v>
      </c>
      <c r="I94" s="799">
        <v>0</v>
      </c>
      <c r="J94" s="799">
        <v>0</v>
      </c>
      <c r="K94" s="799">
        <v>0</v>
      </c>
      <c r="L94" s="799">
        <v>1217500</v>
      </c>
      <c r="M94" s="799">
        <v>29001.4377547</v>
      </c>
      <c r="N94" s="799">
        <v>56345.9</v>
      </c>
      <c r="O94" s="800">
        <v>0.74966412000000004</v>
      </c>
      <c r="P94" s="800">
        <v>0.82427665089148505</v>
      </c>
      <c r="Q94" s="800">
        <v>5.7976189999999997E-2</v>
      </c>
      <c r="R94" s="801"/>
      <c r="S94" s="799">
        <v>0</v>
      </c>
      <c r="T94" s="524"/>
      <c r="U94" s="800"/>
      <c r="V94" s="524"/>
      <c r="W94" s="524"/>
    </row>
    <row r="95" spans="1:23" outlineLevel="2">
      <c r="A95" s="524">
        <v>55</v>
      </c>
      <c r="B95" s="524" t="s">
        <v>549</v>
      </c>
      <c r="C95" s="524">
        <v>27</v>
      </c>
      <c r="D95" s="524" t="s">
        <v>705</v>
      </c>
      <c r="E95" s="524" t="s">
        <v>453</v>
      </c>
      <c r="F95" s="799">
        <v>1280689</v>
      </c>
      <c r="G95" s="799">
        <v>0</v>
      </c>
      <c r="H95" s="799">
        <v>0</v>
      </c>
      <c r="I95" s="799">
        <v>0</v>
      </c>
      <c r="J95" s="799">
        <v>0</v>
      </c>
      <c r="K95" s="799">
        <v>0</v>
      </c>
      <c r="L95" s="799">
        <v>1280689</v>
      </c>
      <c r="M95" s="799">
        <v>42516.518716099999</v>
      </c>
      <c r="N95" s="799">
        <v>77033.443349999987</v>
      </c>
      <c r="O95" s="800">
        <v>1.0249052400000001</v>
      </c>
      <c r="P95" s="800">
        <v>1.1269119614945706</v>
      </c>
      <c r="Q95" s="800">
        <v>0.13710259</v>
      </c>
      <c r="R95" s="800"/>
      <c r="S95" s="799">
        <v>0</v>
      </c>
      <c r="T95" s="524"/>
      <c r="U95" s="800">
        <v>0</v>
      </c>
      <c r="V95" s="524"/>
      <c r="W95" s="524"/>
    </row>
    <row r="96" spans="1:23" outlineLevel="2">
      <c r="A96" s="524">
        <v>56</v>
      </c>
      <c r="B96" s="524" t="s">
        <v>550</v>
      </c>
      <c r="C96" s="524">
        <v>27</v>
      </c>
      <c r="D96" s="524" t="s">
        <v>705</v>
      </c>
      <c r="E96" s="524" t="s">
        <v>153</v>
      </c>
      <c r="F96" s="799">
        <v>2468887</v>
      </c>
      <c r="G96" s="799">
        <v>0</v>
      </c>
      <c r="H96" s="799">
        <v>0</v>
      </c>
      <c r="I96" s="799">
        <v>0</v>
      </c>
      <c r="J96" s="799">
        <v>0</v>
      </c>
      <c r="K96" s="799">
        <v>0</v>
      </c>
      <c r="L96" s="799">
        <v>2468887</v>
      </c>
      <c r="M96" s="799">
        <v>177398.55334519999</v>
      </c>
      <c r="N96" s="799">
        <v>304784.10014999995</v>
      </c>
      <c r="O96" s="800">
        <v>4.0550546399999998</v>
      </c>
      <c r="P96" s="800">
        <v>4.4586459230683495</v>
      </c>
      <c r="Q96" s="800">
        <v>0.19405855</v>
      </c>
      <c r="R96" s="800"/>
      <c r="S96" s="799">
        <v>0</v>
      </c>
      <c r="T96" s="524"/>
      <c r="U96" s="800">
        <v>0</v>
      </c>
      <c r="V96" s="524"/>
      <c r="W96" s="524"/>
    </row>
    <row r="97" spans="1:23" outlineLevel="1">
      <c r="A97" s="524"/>
      <c r="B97" s="524"/>
      <c r="C97" s="524"/>
      <c r="D97" s="808" t="s">
        <v>696</v>
      </c>
      <c r="E97" s="524"/>
      <c r="F97" s="803">
        <v>8682832</v>
      </c>
      <c r="G97" s="803">
        <v>0</v>
      </c>
      <c r="H97" s="803">
        <v>0</v>
      </c>
      <c r="I97" s="803">
        <v>0</v>
      </c>
      <c r="J97" s="803"/>
      <c r="K97" s="803">
        <v>0</v>
      </c>
      <c r="L97" s="803">
        <v>8682832</v>
      </c>
      <c r="M97" s="803">
        <v>535485.00636130001</v>
      </c>
      <c r="N97" s="803">
        <v>1222609.33066</v>
      </c>
      <c r="O97" s="804">
        <v>16.266424800000003</v>
      </c>
      <c r="P97" s="804">
        <v>17.885388722606351</v>
      </c>
      <c r="Q97" s="801"/>
      <c r="R97" s="801"/>
      <c r="S97" s="799"/>
      <c r="T97" s="524"/>
      <c r="U97" s="800"/>
      <c r="V97" s="524"/>
      <c r="W97" s="524"/>
    </row>
    <row r="98" spans="1:23" outlineLevel="1">
      <c r="A98" s="524"/>
      <c r="B98" s="524"/>
      <c r="C98" s="524"/>
      <c r="D98" s="808"/>
      <c r="E98" s="808" t="s">
        <v>14</v>
      </c>
      <c r="F98" s="805"/>
      <c r="G98" s="805"/>
      <c r="H98" s="805"/>
      <c r="I98" s="805"/>
      <c r="J98" s="805"/>
      <c r="K98" s="805"/>
      <c r="L98" s="805"/>
      <c r="M98" s="805"/>
      <c r="N98" s="805"/>
      <c r="O98" s="801"/>
      <c r="P98" s="801"/>
      <c r="Q98" s="801"/>
      <c r="R98" s="801"/>
      <c r="S98" s="799"/>
      <c r="T98" s="524"/>
      <c r="U98" s="800"/>
      <c r="V98" s="524"/>
      <c r="W98" s="524"/>
    </row>
    <row r="99" spans="1:23" outlineLevel="2">
      <c r="A99" s="524">
        <v>57</v>
      </c>
      <c r="B99" s="524" t="s">
        <v>546</v>
      </c>
      <c r="C99" s="524">
        <v>29</v>
      </c>
      <c r="D99" s="524" t="s">
        <v>14</v>
      </c>
      <c r="E99" s="524" t="s">
        <v>446</v>
      </c>
      <c r="F99" s="799">
        <v>2641333</v>
      </c>
      <c r="G99" s="799">
        <v>0</v>
      </c>
      <c r="H99" s="799">
        <v>0</v>
      </c>
      <c r="I99" s="799">
        <v>0</v>
      </c>
      <c r="J99" s="799">
        <v>0</v>
      </c>
      <c r="K99" s="799">
        <v>747000</v>
      </c>
      <c r="L99" s="799">
        <v>1894333</v>
      </c>
      <c r="M99" s="799">
        <v>14207.497657600001</v>
      </c>
      <c r="N99" s="799">
        <v>17238.4303</v>
      </c>
      <c r="O99" s="800">
        <v>0.22935178000000001</v>
      </c>
      <c r="P99" s="800">
        <v>0.25217869613069094</v>
      </c>
      <c r="Q99" s="800">
        <v>0.4827187</v>
      </c>
      <c r="R99" s="800"/>
      <c r="S99" s="799">
        <v>0</v>
      </c>
      <c r="T99" s="524"/>
      <c r="U99" s="800">
        <v>0</v>
      </c>
      <c r="V99" s="524"/>
      <c r="W99" s="524"/>
    </row>
    <row r="100" spans="1:23" outlineLevel="2">
      <c r="A100" s="524">
        <v>58</v>
      </c>
      <c r="B100" s="709" t="s">
        <v>744</v>
      </c>
      <c r="C100" s="767">
        <v>29</v>
      </c>
      <c r="D100" s="709" t="s">
        <v>14</v>
      </c>
      <c r="E100" s="524" t="s">
        <v>745</v>
      </c>
      <c r="F100" s="799">
        <v>13600</v>
      </c>
      <c r="G100" s="799">
        <v>0</v>
      </c>
      <c r="H100" s="799">
        <v>0</v>
      </c>
      <c r="I100" s="799">
        <v>0</v>
      </c>
      <c r="J100" s="799">
        <v>0</v>
      </c>
      <c r="K100" s="799">
        <v>0</v>
      </c>
      <c r="L100" s="799">
        <v>13600</v>
      </c>
      <c r="M100" s="799">
        <v>6186.8801571000004</v>
      </c>
      <c r="N100" s="799">
        <v>5573.28</v>
      </c>
      <c r="O100" s="800">
        <v>7.41507E-2</v>
      </c>
      <c r="P100" s="800">
        <v>8.1530769281890889E-2</v>
      </c>
      <c r="Q100" s="800">
        <v>3.9861420000000002E-2</v>
      </c>
      <c r="R100" s="800"/>
      <c r="S100" s="799"/>
      <c r="T100" s="524"/>
      <c r="U100" s="800"/>
      <c r="V100" s="524"/>
      <c r="W100" s="524"/>
    </row>
    <row r="101" spans="1:23" outlineLevel="2">
      <c r="A101" s="524">
        <v>59</v>
      </c>
      <c r="B101" s="810" t="s">
        <v>553</v>
      </c>
      <c r="C101" s="524">
        <v>29</v>
      </c>
      <c r="D101" s="524" t="s">
        <v>14</v>
      </c>
      <c r="E101" s="524" t="s">
        <v>480</v>
      </c>
      <c r="F101" s="799">
        <v>191796</v>
      </c>
      <c r="G101" s="799">
        <v>0</v>
      </c>
      <c r="H101" s="799">
        <v>0</v>
      </c>
      <c r="I101" s="799">
        <v>0</v>
      </c>
      <c r="J101" s="799">
        <v>0</v>
      </c>
      <c r="K101" s="799">
        <v>0</v>
      </c>
      <c r="L101" s="799">
        <v>191796</v>
      </c>
      <c r="M101" s="799">
        <v>11532.6935108</v>
      </c>
      <c r="N101" s="799">
        <v>45603.334920000001</v>
      </c>
      <c r="O101" s="800">
        <v>0.60673774000000003</v>
      </c>
      <c r="P101" s="800">
        <v>0.66712510009318005</v>
      </c>
      <c r="Q101" s="800">
        <v>0.41296852000000001</v>
      </c>
      <c r="R101" s="800"/>
      <c r="S101" s="799">
        <v>0</v>
      </c>
      <c r="T101" s="524"/>
      <c r="U101" s="800"/>
      <c r="V101" s="524"/>
      <c r="W101" s="524"/>
    </row>
    <row r="102" spans="1:23" outlineLevel="2">
      <c r="A102" s="524">
        <v>60</v>
      </c>
      <c r="B102" s="524" t="s">
        <v>552</v>
      </c>
      <c r="C102" s="524">
        <v>29</v>
      </c>
      <c r="D102" s="524" t="s">
        <v>14</v>
      </c>
      <c r="E102" s="524" t="s">
        <v>518</v>
      </c>
      <c r="F102" s="799">
        <v>33569</v>
      </c>
      <c r="G102" s="799">
        <v>0</v>
      </c>
      <c r="H102" s="799">
        <v>0</v>
      </c>
      <c r="I102" s="799">
        <v>0</v>
      </c>
      <c r="J102" s="799">
        <v>0</v>
      </c>
      <c r="K102" s="799">
        <v>0</v>
      </c>
      <c r="L102" s="799">
        <v>33569</v>
      </c>
      <c r="M102" s="799">
        <v>4061.5050709000002</v>
      </c>
      <c r="N102" s="799">
        <v>16156.424010000001</v>
      </c>
      <c r="O102" s="800">
        <v>0.21495603999999999</v>
      </c>
      <c r="P102" s="800">
        <v>0.23635017052430748</v>
      </c>
      <c r="Q102" s="800">
        <v>3.6346209999999997E-2</v>
      </c>
      <c r="R102" s="800"/>
      <c r="S102" s="799">
        <v>0</v>
      </c>
      <c r="T102" s="524"/>
      <c r="U102" s="800">
        <v>0</v>
      </c>
      <c r="V102" s="524"/>
      <c r="W102" s="524"/>
    </row>
    <row r="103" spans="1:23" outlineLevel="2">
      <c r="A103" s="524">
        <v>61</v>
      </c>
      <c r="B103" s="806" t="s">
        <v>554</v>
      </c>
      <c r="C103" s="524">
        <v>29</v>
      </c>
      <c r="D103" s="524" t="s">
        <v>14</v>
      </c>
      <c r="E103" s="524" t="s">
        <v>519</v>
      </c>
      <c r="F103" s="799">
        <v>1061157</v>
      </c>
      <c r="G103" s="799">
        <v>0</v>
      </c>
      <c r="H103" s="799">
        <v>0</v>
      </c>
      <c r="I103" s="799">
        <v>0</v>
      </c>
      <c r="J103" s="799">
        <v>0</v>
      </c>
      <c r="K103" s="799">
        <v>983000</v>
      </c>
      <c r="L103" s="799">
        <v>78157</v>
      </c>
      <c r="M103" s="799">
        <v>435.33448490000001</v>
      </c>
      <c r="N103" s="799">
        <v>494.73381000000001</v>
      </c>
      <c r="O103" s="800">
        <v>6.5822700000000003E-3</v>
      </c>
      <c r="P103" s="800">
        <v>7.2373948768159587E-3</v>
      </c>
      <c r="Q103" s="800">
        <v>5.1615799999999998E-3</v>
      </c>
      <c r="R103" s="801"/>
      <c r="S103" s="799">
        <v>0</v>
      </c>
      <c r="T103" s="524"/>
      <c r="U103" s="800">
        <v>0</v>
      </c>
      <c r="V103" s="524"/>
      <c r="W103" s="524"/>
    </row>
    <row r="104" spans="1:23" outlineLevel="1">
      <c r="A104" s="524"/>
      <c r="B104" s="806"/>
      <c r="C104" s="524"/>
      <c r="D104" s="808" t="s">
        <v>746</v>
      </c>
      <c r="E104" s="524"/>
      <c r="F104" s="803">
        <v>3941455</v>
      </c>
      <c r="G104" s="803">
        <v>0</v>
      </c>
      <c r="H104" s="803">
        <v>0</v>
      </c>
      <c r="I104" s="803">
        <v>0</v>
      </c>
      <c r="J104" s="803"/>
      <c r="K104" s="803">
        <v>1730000</v>
      </c>
      <c r="L104" s="803">
        <v>2211455</v>
      </c>
      <c r="M104" s="803">
        <v>36423.910881299998</v>
      </c>
      <c r="N104" s="803">
        <v>85066.203040000008</v>
      </c>
      <c r="O104" s="804">
        <v>1.1317785300000001</v>
      </c>
      <c r="P104" s="804">
        <v>1.2444221309068852</v>
      </c>
      <c r="Q104" s="801"/>
      <c r="R104" s="801"/>
      <c r="S104" s="799"/>
      <c r="T104" s="524"/>
      <c r="U104" s="800"/>
      <c r="V104" s="524"/>
      <c r="W104" s="524"/>
    </row>
    <row r="105" spans="1:23" outlineLevel="1">
      <c r="A105" s="524"/>
      <c r="B105" s="806"/>
      <c r="C105" s="524"/>
      <c r="D105" s="808"/>
      <c r="E105" s="808" t="s">
        <v>20</v>
      </c>
      <c r="F105" s="805"/>
      <c r="G105" s="805"/>
      <c r="H105" s="805"/>
      <c r="I105" s="805"/>
      <c r="J105" s="805"/>
      <c r="K105" s="805"/>
      <c r="L105" s="805"/>
      <c r="M105" s="805"/>
      <c r="N105" s="805"/>
      <c r="O105" s="801"/>
      <c r="P105" s="801"/>
      <c r="Q105" s="801"/>
      <c r="R105" s="801"/>
      <c r="S105" s="799"/>
      <c r="T105" s="524"/>
      <c r="U105" s="800"/>
      <c r="V105" s="524"/>
      <c r="W105" s="524"/>
    </row>
    <row r="106" spans="1:23" outlineLevel="2">
      <c r="A106" s="524">
        <v>62</v>
      </c>
      <c r="B106" s="524" t="s">
        <v>19</v>
      </c>
      <c r="C106" s="524">
        <v>30</v>
      </c>
      <c r="D106" s="524" t="s">
        <v>20</v>
      </c>
      <c r="E106" s="524" t="s">
        <v>161</v>
      </c>
      <c r="F106" s="799">
        <v>29982</v>
      </c>
      <c r="G106" s="799">
        <v>0</v>
      </c>
      <c r="H106" s="799">
        <v>0</v>
      </c>
      <c r="I106" s="799">
        <v>0</v>
      </c>
      <c r="J106" s="799">
        <v>0</v>
      </c>
      <c r="K106" s="799">
        <v>0</v>
      </c>
      <c r="L106" s="799">
        <v>29982</v>
      </c>
      <c r="M106" s="799">
        <v>6549.7162753000002</v>
      </c>
      <c r="N106" s="799">
        <v>15995.397000000001</v>
      </c>
      <c r="O106" s="800">
        <v>0.21281362000000001</v>
      </c>
      <c r="P106" s="800">
        <v>0.23399452788649588</v>
      </c>
      <c r="Q106" s="800">
        <v>3.5532330000000001E-2</v>
      </c>
      <c r="R106" s="800"/>
      <c r="S106" s="799">
        <v>0</v>
      </c>
      <c r="T106" s="524"/>
      <c r="U106" s="800"/>
      <c r="V106" s="524"/>
      <c r="W106" s="524"/>
    </row>
    <row r="107" spans="1:23" outlineLevel="1">
      <c r="A107" s="524"/>
      <c r="B107" s="524"/>
      <c r="C107" s="524"/>
      <c r="D107" s="808" t="s">
        <v>747</v>
      </c>
      <c r="E107" s="524"/>
      <c r="F107" s="803">
        <v>29982</v>
      </c>
      <c r="G107" s="803">
        <v>0</v>
      </c>
      <c r="H107" s="803">
        <v>0</v>
      </c>
      <c r="I107" s="803">
        <v>0</v>
      </c>
      <c r="J107" s="803"/>
      <c r="K107" s="803">
        <v>0</v>
      </c>
      <c r="L107" s="803">
        <v>29982</v>
      </c>
      <c r="M107" s="803">
        <v>6549.7162753000002</v>
      </c>
      <c r="N107" s="803">
        <v>15995.397000000001</v>
      </c>
      <c r="O107" s="804">
        <v>0.21281362000000001</v>
      </c>
      <c r="P107" s="804">
        <v>0.23399452788649588</v>
      </c>
      <c r="Q107" s="801"/>
      <c r="R107" s="801"/>
      <c r="S107" s="799"/>
      <c r="T107" s="524"/>
      <c r="U107" s="800"/>
      <c r="V107" s="524"/>
      <c r="W107" s="524"/>
    </row>
    <row r="108" spans="1:23" outlineLevel="1">
      <c r="A108" s="524"/>
      <c r="B108" s="524"/>
      <c r="C108" s="524"/>
      <c r="D108" s="808"/>
      <c r="E108" s="808" t="s">
        <v>749</v>
      </c>
      <c r="F108" s="805"/>
      <c r="G108" s="805"/>
      <c r="H108" s="805"/>
      <c r="I108" s="805"/>
      <c r="J108" s="805"/>
      <c r="K108" s="805"/>
      <c r="L108" s="805"/>
      <c r="M108" s="805"/>
      <c r="N108" s="805"/>
      <c r="O108" s="801"/>
      <c r="P108" s="801"/>
      <c r="Q108" s="801"/>
      <c r="R108" s="801"/>
      <c r="S108" s="799"/>
      <c r="T108" s="524"/>
      <c r="U108" s="800"/>
      <c r="V108" s="524"/>
      <c r="W108" s="524"/>
    </row>
    <row r="109" spans="1:23" outlineLevel="1">
      <c r="A109" s="524">
        <v>63</v>
      </c>
      <c r="B109" s="709" t="s">
        <v>748</v>
      </c>
      <c r="C109" s="767">
        <v>32</v>
      </c>
      <c r="D109" s="709" t="s">
        <v>749</v>
      </c>
      <c r="E109" s="807" t="s">
        <v>750</v>
      </c>
      <c r="F109" s="799">
        <v>640</v>
      </c>
      <c r="G109" s="799">
        <v>0</v>
      </c>
      <c r="H109" s="799">
        <v>0</v>
      </c>
      <c r="I109" s="799">
        <v>0</v>
      </c>
      <c r="J109" s="799">
        <v>0</v>
      </c>
      <c r="K109" s="799">
        <v>0</v>
      </c>
      <c r="L109" s="799">
        <v>640</v>
      </c>
      <c r="M109" s="799">
        <v>2332.9330037</v>
      </c>
      <c r="N109" s="799">
        <v>1900.864</v>
      </c>
      <c r="O109" s="800">
        <v>2.5290389999999999E-2</v>
      </c>
      <c r="P109" s="800">
        <v>2.7807485757085998E-2</v>
      </c>
      <c r="Q109" s="800">
        <v>8.4656100000000001E-3</v>
      </c>
      <c r="R109" s="801"/>
      <c r="S109" s="799"/>
      <c r="T109" s="524"/>
      <c r="U109" s="800"/>
      <c r="V109" s="524"/>
      <c r="W109" s="524"/>
    </row>
    <row r="110" spans="1:23" outlineLevel="2">
      <c r="A110" s="524">
        <v>64</v>
      </c>
      <c r="B110" s="806" t="s">
        <v>569</v>
      </c>
      <c r="C110" s="524">
        <v>32</v>
      </c>
      <c r="D110" s="524" t="s">
        <v>749</v>
      </c>
      <c r="E110" s="524" t="s">
        <v>475</v>
      </c>
      <c r="F110" s="799">
        <v>93040</v>
      </c>
      <c r="G110" s="799">
        <v>0</v>
      </c>
      <c r="H110" s="799">
        <v>0</v>
      </c>
      <c r="I110" s="799">
        <v>0</v>
      </c>
      <c r="J110" s="799">
        <v>0</v>
      </c>
      <c r="K110" s="799">
        <v>0</v>
      </c>
      <c r="L110" s="799">
        <v>93040</v>
      </c>
      <c r="M110" s="799">
        <v>21040.953947800001</v>
      </c>
      <c r="N110" s="799">
        <v>74897.2</v>
      </c>
      <c r="O110" s="800">
        <v>0.99648320999999995</v>
      </c>
      <c r="P110" s="800">
        <v>1.0956611426412521</v>
      </c>
      <c r="Q110" s="800">
        <v>0.77347699000000003</v>
      </c>
      <c r="R110" s="800"/>
      <c r="S110" s="799">
        <v>0</v>
      </c>
      <c r="T110" s="524"/>
      <c r="U110" s="800">
        <v>0</v>
      </c>
      <c r="V110" s="524"/>
      <c r="W110" s="524"/>
    </row>
    <row r="111" spans="1:23" outlineLevel="1">
      <c r="A111" s="524"/>
      <c r="B111" s="806"/>
      <c r="C111" s="524"/>
      <c r="D111" s="808" t="s">
        <v>751</v>
      </c>
      <c r="E111" s="524"/>
      <c r="F111" s="803">
        <v>93680</v>
      </c>
      <c r="G111" s="803">
        <v>0</v>
      </c>
      <c r="H111" s="803">
        <v>0</v>
      </c>
      <c r="I111" s="803">
        <v>0</v>
      </c>
      <c r="J111" s="803">
        <v>0</v>
      </c>
      <c r="K111" s="803">
        <v>0</v>
      </c>
      <c r="L111" s="803">
        <v>93680</v>
      </c>
      <c r="M111" s="803">
        <v>23373.886951500001</v>
      </c>
      <c r="N111" s="803">
        <v>76798.063999999998</v>
      </c>
      <c r="O111" s="804">
        <v>1.0217735999999999</v>
      </c>
      <c r="P111" s="804">
        <v>1.1234686283983382</v>
      </c>
      <c r="Q111" s="801"/>
      <c r="R111" s="801"/>
      <c r="S111" s="799"/>
      <c r="T111" s="524"/>
      <c r="U111" s="800"/>
      <c r="V111" s="524"/>
      <c r="W111" s="524"/>
    </row>
    <row r="112" spans="1:23" outlineLevel="1">
      <c r="A112" s="524"/>
      <c r="B112" s="806"/>
      <c r="C112" s="524"/>
      <c r="D112" s="808"/>
      <c r="E112" s="808" t="s">
        <v>766</v>
      </c>
      <c r="F112" s="805"/>
      <c r="G112" s="805"/>
      <c r="H112" s="805"/>
      <c r="I112" s="805"/>
      <c r="J112" s="805"/>
      <c r="K112" s="805"/>
      <c r="L112" s="805"/>
      <c r="M112" s="805"/>
      <c r="N112" s="805"/>
      <c r="O112" s="801"/>
      <c r="P112" s="801"/>
      <c r="Q112" s="801"/>
      <c r="R112" s="801"/>
      <c r="S112" s="799"/>
      <c r="T112" s="524"/>
      <c r="U112" s="800"/>
      <c r="V112" s="524"/>
      <c r="W112" s="524"/>
    </row>
    <row r="113" spans="1:23" outlineLevel="2">
      <c r="A113" s="524">
        <v>65</v>
      </c>
      <c r="B113" s="810" t="s">
        <v>752</v>
      </c>
      <c r="C113" s="524">
        <v>36</v>
      </c>
      <c r="D113" s="524" t="s">
        <v>766</v>
      </c>
      <c r="E113" s="524" t="s">
        <v>753</v>
      </c>
      <c r="F113" s="799">
        <v>255000</v>
      </c>
      <c r="G113" s="799">
        <v>0</v>
      </c>
      <c r="H113" s="799">
        <v>0</v>
      </c>
      <c r="I113" s="799">
        <v>0</v>
      </c>
      <c r="J113" s="799">
        <v>0</v>
      </c>
      <c r="K113" s="799">
        <v>0</v>
      </c>
      <c r="L113" s="799">
        <v>255000</v>
      </c>
      <c r="M113" s="799">
        <v>7650</v>
      </c>
      <c r="N113" s="799">
        <v>12877.5</v>
      </c>
      <c r="O113" s="800">
        <v>0.17133101000000001</v>
      </c>
      <c r="P113" s="800">
        <v>0.18838322880378339</v>
      </c>
      <c r="Q113" s="800">
        <v>0.32967033000000001</v>
      </c>
      <c r="R113" s="801"/>
      <c r="S113" s="799">
        <v>0</v>
      </c>
      <c r="T113" s="524"/>
      <c r="U113" s="800">
        <v>0</v>
      </c>
      <c r="V113" s="524"/>
      <c r="W113" s="524"/>
    </row>
    <row r="114" spans="1:23" outlineLevel="1">
      <c r="A114" s="524"/>
      <c r="B114" s="810"/>
      <c r="C114" s="524"/>
      <c r="D114" s="808" t="s">
        <v>754</v>
      </c>
      <c r="E114" s="524"/>
      <c r="F114" s="803">
        <v>255000</v>
      </c>
      <c r="G114" s="803">
        <v>0</v>
      </c>
      <c r="H114" s="803">
        <v>0</v>
      </c>
      <c r="I114" s="803">
        <v>0</v>
      </c>
      <c r="J114" s="803"/>
      <c r="K114" s="803">
        <v>0</v>
      </c>
      <c r="L114" s="803">
        <v>255000</v>
      </c>
      <c r="M114" s="803">
        <v>7650</v>
      </c>
      <c r="N114" s="803">
        <v>12877.5</v>
      </c>
      <c r="O114" s="804">
        <v>0.17133101000000001</v>
      </c>
      <c r="P114" s="804">
        <v>0.18838322880378339</v>
      </c>
      <c r="Q114" s="801"/>
      <c r="R114" s="801"/>
      <c r="S114" s="799"/>
      <c r="T114" s="524"/>
      <c r="U114" s="800"/>
      <c r="V114" s="524"/>
      <c r="W114" s="524"/>
    </row>
    <row r="115" spans="1:23" outlineLevel="1">
      <c r="A115" s="524"/>
      <c r="B115" s="810"/>
      <c r="C115" s="524"/>
      <c r="D115" s="808"/>
      <c r="E115" s="524"/>
      <c r="F115" s="805"/>
      <c r="G115" s="805"/>
      <c r="H115" s="805"/>
      <c r="I115" s="805"/>
      <c r="J115" s="805"/>
      <c r="K115" s="805"/>
      <c r="L115" s="805"/>
      <c r="M115" s="805"/>
      <c r="N115" s="805"/>
      <c r="O115" s="801"/>
      <c r="P115" s="801"/>
      <c r="Q115" s="801"/>
      <c r="R115" s="801"/>
      <c r="S115" s="799"/>
      <c r="T115" s="524"/>
      <c r="U115" s="800"/>
      <c r="V115" s="524"/>
      <c r="W115" s="524"/>
    </row>
    <row r="116" spans="1:23" ht="18.75" customHeight="1" thickBot="1">
      <c r="A116" s="524"/>
      <c r="B116" s="810"/>
      <c r="C116" s="524"/>
      <c r="D116" s="808" t="s">
        <v>584</v>
      </c>
      <c r="E116" s="524"/>
      <c r="F116" s="817">
        <v>69651656</v>
      </c>
      <c r="G116" s="817">
        <v>661000</v>
      </c>
      <c r="H116" s="817">
        <v>0</v>
      </c>
      <c r="I116" s="817">
        <v>197190</v>
      </c>
      <c r="J116" s="817">
        <v>0</v>
      </c>
      <c r="K116" s="817">
        <v>3262700</v>
      </c>
      <c r="L116" s="817">
        <v>67247146</v>
      </c>
      <c r="M116" s="817">
        <v>3302410.5943622999</v>
      </c>
      <c r="N116" s="817">
        <v>6758391.9854499986</v>
      </c>
      <c r="O116" s="818">
        <v>89.918236560000011</v>
      </c>
      <c r="P116" s="818">
        <v>98.667809775943013</v>
      </c>
      <c r="Q116" s="801"/>
      <c r="R116" s="801"/>
      <c r="S116" s="799"/>
      <c r="T116" s="524"/>
      <c r="U116" s="800"/>
      <c r="V116" s="524"/>
      <c r="W116" s="524"/>
    </row>
    <row r="117" spans="1:23" ht="16.5" hidden="1" thickTop="1">
      <c r="F117" s="752">
        <v>0</v>
      </c>
      <c r="G117" s="752">
        <v>0</v>
      </c>
      <c r="H117" s="752">
        <v>0</v>
      </c>
      <c r="I117" s="752">
        <v>0</v>
      </c>
      <c r="J117" s="752">
        <v>0</v>
      </c>
      <c r="K117" s="752">
        <v>0</v>
      </c>
      <c r="L117" s="752">
        <v>0</v>
      </c>
      <c r="M117" s="752">
        <v>0</v>
      </c>
      <c r="N117" s="752">
        <v>0</v>
      </c>
      <c r="O117" s="752">
        <v>89.918236560000011</v>
      </c>
      <c r="P117" s="752"/>
      <c r="Q117" s="752"/>
    </row>
    <row r="118" spans="1:23" hidden="1">
      <c r="L118" s="33"/>
    </row>
    <row r="119" spans="1:23" hidden="1">
      <c r="L119" s="767" t="s">
        <v>755</v>
      </c>
      <c r="N119" s="32">
        <v>6758391.9854499986</v>
      </c>
    </row>
    <row r="120" spans="1:23" hidden="1">
      <c r="L120" s="767" t="s">
        <v>756</v>
      </c>
      <c r="N120" s="32">
        <v>77407.614000000001</v>
      </c>
    </row>
    <row r="121" spans="1:23" hidden="1">
      <c r="L121" s="767" t="s">
        <v>757</v>
      </c>
    </row>
    <row r="122" spans="1:23" ht="16.5" hidden="1" thickBot="1">
      <c r="N122" s="713">
        <v>6835799.5994499987</v>
      </c>
    </row>
    <row r="123" spans="1:23" ht="16.5" hidden="1" thickTop="1"/>
    <row r="124" spans="1:23" ht="16.5" thickTop="1"/>
    <row r="125" spans="1:23">
      <c r="E125" s="831" t="s">
        <v>774</v>
      </c>
    </row>
    <row r="126" spans="1:23">
      <c r="E126" s="884" t="s">
        <v>445</v>
      </c>
      <c r="F126" s="827"/>
      <c r="G126" s="891" t="s">
        <v>460</v>
      </c>
      <c r="H126" s="881" t="s">
        <v>585</v>
      </c>
      <c r="I126" s="882"/>
      <c r="J126" s="882"/>
      <c r="K126" s="883"/>
      <c r="L126" s="881" t="s">
        <v>787</v>
      </c>
      <c r="M126" s="882"/>
      <c r="N126" s="883"/>
      <c r="O126" s="884" t="s">
        <v>586</v>
      </c>
      <c r="P126" s="886" t="s">
        <v>587</v>
      </c>
      <c r="S126" s="767"/>
    </row>
    <row r="127" spans="1:23" ht="63">
      <c r="E127" s="885"/>
      <c r="F127" s="828"/>
      <c r="G127" s="892"/>
      <c r="H127" s="844" t="s">
        <v>800</v>
      </c>
      <c r="I127" s="641" t="s">
        <v>588</v>
      </c>
      <c r="J127" s="641" t="s">
        <v>589</v>
      </c>
      <c r="K127" s="845" t="s">
        <v>801</v>
      </c>
      <c r="L127" s="641" t="s">
        <v>509</v>
      </c>
      <c r="M127" s="641" t="s">
        <v>444</v>
      </c>
      <c r="N127" s="641" t="s">
        <v>590</v>
      </c>
      <c r="O127" s="885"/>
      <c r="P127" s="887"/>
      <c r="S127" s="767"/>
    </row>
    <row r="128" spans="1:23">
      <c r="E128" s="642"/>
      <c r="G128" s="643"/>
      <c r="H128" s="888" t="s">
        <v>769</v>
      </c>
      <c r="I128" s="889"/>
      <c r="J128" s="889"/>
      <c r="K128" s="889"/>
      <c r="L128" s="889"/>
      <c r="M128" s="889"/>
      <c r="N128" s="890"/>
      <c r="O128" s="819">
        <v>7596602.7101699999</v>
      </c>
      <c r="P128" s="820">
        <v>6908397.8540000003</v>
      </c>
      <c r="S128" s="767"/>
    </row>
    <row r="129" spans="5:19">
      <c r="E129" s="642"/>
      <c r="G129" s="643"/>
      <c r="H129" s="643"/>
      <c r="I129" s="643"/>
      <c r="J129" s="643"/>
      <c r="K129" s="643"/>
      <c r="L129" s="644"/>
      <c r="M129" s="643"/>
      <c r="N129" s="643"/>
      <c r="O129" s="821">
        <v>7516152.7230000002</v>
      </c>
      <c r="P129" s="821">
        <v>7433458.7120000003</v>
      </c>
      <c r="S129" s="767"/>
    </row>
    <row r="130" spans="5:19">
      <c r="E130" s="645" t="s">
        <v>505</v>
      </c>
      <c r="G130" s="646"/>
      <c r="H130" s="647"/>
      <c r="I130" s="647"/>
      <c r="J130" s="647"/>
      <c r="K130" s="647"/>
      <c r="L130" s="644"/>
      <c r="M130" s="822"/>
      <c r="N130" s="643"/>
      <c r="O130" s="823"/>
      <c r="P130" s="823"/>
      <c r="S130" s="767"/>
    </row>
    <row r="131" spans="5:19">
      <c r="E131" s="648">
        <v>42208</v>
      </c>
      <c r="G131" s="649" t="s">
        <v>481</v>
      </c>
      <c r="H131" s="829"/>
      <c r="I131" s="829">
        <v>300000</v>
      </c>
      <c r="J131" s="829"/>
      <c r="K131" s="829">
        <v>300000</v>
      </c>
      <c r="L131" s="829">
        <v>299214.33399999997</v>
      </c>
      <c r="M131" s="829">
        <v>299204.40000000002</v>
      </c>
      <c r="N131" s="652">
        <v>-9.9339999999501742</v>
      </c>
      <c r="O131" s="830">
        <v>3.98</v>
      </c>
      <c r="P131" s="830">
        <v>4.03</v>
      </c>
      <c r="S131" s="767"/>
    </row>
    <row r="132" spans="5:19">
      <c r="E132" s="648">
        <v>42180</v>
      </c>
      <c r="G132" s="649" t="s">
        <v>481</v>
      </c>
      <c r="H132" s="829"/>
      <c r="I132" s="829">
        <v>300000</v>
      </c>
      <c r="J132" s="829">
        <v>300000</v>
      </c>
      <c r="K132" s="829">
        <v>0</v>
      </c>
      <c r="L132" s="829">
        <v>0</v>
      </c>
      <c r="M132" s="829">
        <v>0</v>
      </c>
      <c r="N132" s="652">
        <v>0</v>
      </c>
      <c r="O132" s="830"/>
      <c r="P132" s="830"/>
      <c r="S132" s="767"/>
    </row>
    <row r="133" spans="5:19">
      <c r="E133" s="648">
        <v>42068</v>
      </c>
      <c r="G133" s="649" t="s">
        <v>770</v>
      </c>
      <c r="H133" s="829"/>
      <c r="I133" s="829">
        <v>200000</v>
      </c>
      <c r="J133" s="829">
        <v>200000</v>
      </c>
      <c r="K133" s="829">
        <v>0</v>
      </c>
      <c r="L133" s="829">
        <v>0</v>
      </c>
      <c r="M133" s="829">
        <v>0</v>
      </c>
      <c r="N133" s="652">
        <v>0</v>
      </c>
      <c r="O133" s="830"/>
      <c r="P133" s="830"/>
      <c r="S133" s="767"/>
    </row>
    <row r="134" spans="5:19">
      <c r="E134" s="648">
        <v>41942</v>
      </c>
      <c r="G134" s="649" t="s">
        <v>482</v>
      </c>
      <c r="H134" s="829"/>
      <c r="I134" s="829">
        <v>300000</v>
      </c>
      <c r="J134" s="829"/>
      <c r="K134" s="829">
        <v>300000</v>
      </c>
      <c r="L134" s="829">
        <v>298422.02100000001</v>
      </c>
      <c r="M134" s="829">
        <v>298454.7</v>
      </c>
      <c r="N134" s="652">
        <v>32.679000000003725</v>
      </c>
      <c r="O134" s="830">
        <v>3.97</v>
      </c>
      <c r="P134" s="830">
        <v>4.0199999999999996</v>
      </c>
      <c r="S134" s="767"/>
    </row>
    <row r="135" spans="5:19">
      <c r="E135" s="648"/>
      <c r="G135" s="649"/>
      <c r="H135" s="650"/>
      <c r="I135" s="650"/>
      <c r="J135" s="650"/>
      <c r="K135" s="650"/>
      <c r="L135" s="651"/>
      <c r="M135" s="651"/>
      <c r="N135" s="652"/>
      <c r="O135" s="830"/>
      <c r="P135" s="830"/>
      <c r="S135" s="767"/>
    </row>
    <row r="136" spans="5:19" ht="16.5" thickBot="1">
      <c r="E136" s="653"/>
      <c r="G136" s="654"/>
      <c r="H136" s="824"/>
      <c r="I136" s="824">
        <v>1100000</v>
      </c>
      <c r="J136" s="824">
        <v>500000</v>
      </c>
      <c r="K136" s="824">
        <v>600000</v>
      </c>
      <c r="L136" s="824">
        <v>597636.35499999998</v>
      </c>
      <c r="M136" s="824">
        <v>597659.10000000009</v>
      </c>
      <c r="N136" s="825">
        <v>22.745000000053551</v>
      </c>
      <c r="O136" s="826"/>
      <c r="P136" s="826"/>
    </row>
    <row r="137" spans="5:19" ht="16.5" thickTop="1"/>
  </sheetData>
  <mergeCells count="10">
    <mergeCell ref="H128:N128"/>
    <mergeCell ref="E126:E127"/>
    <mergeCell ref="G126:G127"/>
    <mergeCell ref="H126:K126"/>
    <mergeCell ref="S6:S7"/>
    <mergeCell ref="U6:U7"/>
    <mergeCell ref="W6:W7"/>
    <mergeCell ref="L126:N126"/>
    <mergeCell ref="O126:O127"/>
    <mergeCell ref="P126:P127"/>
  </mergeCells>
  <pageMargins left="0.7" right="0.7" top="0.75" bottom="0.75" header="0.3" footer="0.3"/>
  <pageSetup scale="44" orientation="portrait" r:id="rId1"/>
  <headerFooter>
    <oddFooter>&amp;C9 of 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96"/>
  <sheetViews>
    <sheetView view="pageBreakPreview" topLeftCell="A34" zoomScaleSheetLayoutView="100" workbookViewId="0">
      <selection activeCell="I22" sqref="I1:N1048576"/>
    </sheetView>
  </sheetViews>
  <sheetFormatPr defaultRowHeight="12"/>
  <cols>
    <col min="1" max="1" width="5.125" style="181" customWidth="1"/>
    <col min="2" max="2" width="3.625" style="181" customWidth="1"/>
    <col min="3" max="3" width="40.375" style="181" customWidth="1"/>
    <col min="4" max="4" width="1" style="181" customWidth="1"/>
    <col min="5" max="5" width="8.75" style="181" customWidth="1"/>
    <col min="6" max="6" width="11.125" style="181" customWidth="1"/>
    <col min="7" max="7" width="1.625" style="181" customWidth="1"/>
    <col min="8" max="8" width="11.25" style="181" customWidth="1"/>
    <col min="9" max="16384" width="9" style="181"/>
  </cols>
  <sheetData>
    <row r="1" spans="1:8" ht="4.5" customHeight="1"/>
    <row r="2" spans="1:8">
      <c r="A2" s="677">
        <v>3.4</v>
      </c>
      <c r="B2" s="874" t="s">
        <v>777</v>
      </c>
      <c r="C2" s="898"/>
      <c r="D2" s="898"/>
      <c r="E2" s="898"/>
      <c r="F2" s="898"/>
      <c r="G2" s="898"/>
      <c r="H2" s="898"/>
    </row>
    <row r="3" spans="1:8">
      <c r="B3" s="874"/>
      <c r="C3" s="898"/>
      <c r="D3" s="898"/>
      <c r="E3" s="898"/>
      <c r="F3" s="898"/>
      <c r="G3" s="898"/>
      <c r="H3" s="898"/>
    </row>
    <row r="4" spans="1:8">
      <c r="B4" s="874"/>
      <c r="C4" s="898"/>
      <c r="D4" s="898"/>
      <c r="E4" s="898"/>
      <c r="F4" s="898"/>
      <c r="G4" s="898"/>
      <c r="H4" s="898"/>
    </row>
    <row r="5" spans="1:8">
      <c r="B5" s="874"/>
      <c r="C5" s="898"/>
      <c r="D5" s="898"/>
      <c r="E5" s="898"/>
      <c r="F5" s="898"/>
      <c r="G5" s="898"/>
      <c r="H5" s="898"/>
    </row>
    <row r="6" spans="1:8">
      <c r="B6" s="899"/>
      <c r="C6" s="898"/>
      <c r="D6" s="898"/>
      <c r="E6" s="898"/>
      <c r="F6" s="898"/>
      <c r="G6" s="898"/>
      <c r="H6" s="898"/>
    </row>
    <row r="7" spans="1:8">
      <c r="B7" s="898"/>
      <c r="C7" s="898"/>
      <c r="D7" s="898"/>
      <c r="E7" s="898"/>
      <c r="F7" s="898"/>
      <c r="G7" s="898"/>
      <c r="H7" s="898"/>
    </row>
    <row r="9" spans="1:8">
      <c r="B9" s="874" t="s">
        <v>778</v>
      </c>
      <c r="C9" s="900"/>
      <c r="D9" s="900"/>
      <c r="E9" s="900"/>
      <c r="F9" s="900"/>
      <c r="G9" s="900"/>
      <c r="H9" s="900"/>
    </row>
    <row r="10" spans="1:8">
      <c r="B10" s="874"/>
      <c r="C10" s="900"/>
      <c r="D10" s="900"/>
      <c r="E10" s="900"/>
      <c r="F10" s="900"/>
      <c r="G10" s="900"/>
      <c r="H10" s="900"/>
    </row>
    <row r="11" spans="1:8">
      <c r="B11" s="874"/>
      <c r="C11" s="900"/>
      <c r="D11" s="900"/>
      <c r="E11" s="900"/>
      <c r="F11" s="900"/>
      <c r="G11" s="900"/>
      <c r="H11" s="900"/>
    </row>
    <row r="13" spans="1:8" ht="99.75">
      <c r="D13" s="832"/>
      <c r="E13" s="832" t="s">
        <v>779</v>
      </c>
      <c r="F13" s="832" t="s">
        <v>780</v>
      </c>
      <c r="G13" s="738"/>
      <c r="H13" s="832" t="s">
        <v>781</v>
      </c>
    </row>
    <row r="14" spans="1:8">
      <c r="E14" s="833"/>
      <c r="F14" s="901" t="s">
        <v>179</v>
      </c>
      <c r="G14" s="902"/>
      <c r="H14" s="903"/>
    </row>
    <row r="15" spans="1:8" ht="15">
      <c r="C15" s="95" t="s">
        <v>782</v>
      </c>
      <c r="D15" s="70"/>
      <c r="E15" s="140">
        <v>2682</v>
      </c>
      <c r="F15" s="36">
        <v>41</v>
      </c>
      <c r="G15" s="834"/>
      <c r="H15" s="36">
        <v>41</v>
      </c>
    </row>
    <row r="16" spans="1:8" ht="15">
      <c r="C16" s="95" t="s">
        <v>783</v>
      </c>
      <c r="D16" s="70"/>
      <c r="E16" s="140">
        <v>4887</v>
      </c>
      <c r="F16" s="36">
        <v>1775</v>
      </c>
      <c r="G16" s="835"/>
      <c r="H16" s="36">
        <v>2250</v>
      </c>
    </row>
    <row r="17" spans="1:26" ht="15.75" thickBot="1">
      <c r="D17" s="70"/>
      <c r="E17" s="140"/>
      <c r="F17" s="837">
        <v>1816</v>
      </c>
      <c r="G17" s="836"/>
      <c r="H17" s="837">
        <v>2291</v>
      </c>
    </row>
    <row r="18" spans="1:26" ht="15.75" thickTop="1">
      <c r="D18" s="70"/>
      <c r="E18" s="140"/>
      <c r="F18" s="36"/>
      <c r="G18" s="834"/>
      <c r="H18" s="36"/>
    </row>
    <row r="19" spans="1:26">
      <c r="C19" s="896" t="s">
        <v>784</v>
      </c>
      <c r="D19" s="897"/>
      <c r="E19" s="897"/>
      <c r="F19" s="897"/>
      <c r="G19" s="897"/>
      <c r="H19" s="897"/>
    </row>
    <row r="20" spans="1:26">
      <c r="C20" s="897"/>
      <c r="D20" s="897"/>
      <c r="E20" s="897"/>
      <c r="F20" s="897"/>
      <c r="G20" s="897"/>
      <c r="H20" s="897"/>
    </row>
    <row r="21" spans="1:26">
      <c r="C21" s="896" t="s">
        <v>785</v>
      </c>
      <c r="D21" s="897"/>
      <c r="E21" s="897"/>
      <c r="F21" s="897"/>
      <c r="G21" s="897"/>
      <c r="H21" s="897"/>
    </row>
    <row r="22" spans="1:26">
      <c r="C22" s="897"/>
      <c r="D22" s="897"/>
      <c r="E22" s="897"/>
      <c r="F22" s="897"/>
      <c r="G22" s="897"/>
      <c r="H22" s="897"/>
    </row>
    <row r="23" spans="1:26" ht="12" customHeight="1">
      <c r="A23" s="107">
        <v>3.5</v>
      </c>
      <c r="B23" s="894" t="s">
        <v>786</v>
      </c>
      <c r="C23" s="894"/>
      <c r="D23" s="894"/>
      <c r="E23" s="894"/>
      <c r="F23" s="894"/>
      <c r="G23" s="894"/>
      <c r="H23" s="894"/>
      <c r="I23" s="619"/>
      <c r="J23" s="619"/>
      <c r="K23" s="619"/>
      <c r="L23" s="619"/>
      <c r="M23" s="619"/>
      <c r="N23" s="619"/>
      <c r="O23" s="619"/>
      <c r="P23" s="619"/>
      <c r="Q23" s="619"/>
      <c r="R23" s="619"/>
      <c r="S23" s="619"/>
      <c r="T23" s="619"/>
      <c r="U23" s="619"/>
      <c r="V23" s="619"/>
      <c r="W23" s="619"/>
      <c r="X23" s="619"/>
      <c r="Y23" s="619"/>
      <c r="Z23" s="619"/>
    </row>
    <row r="24" spans="1:26" ht="12" customHeight="1">
      <c r="A24" s="617"/>
      <c r="B24" s="894"/>
      <c r="C24" s="894"/>
      <c r="D24" s="894"/>
      <c r="E24" s="894"/>
      <c r="F24" s="894"/>
      <c r="G24" s="894"/>
      <c r="H24" s="894"/>
      <c r="I24" s="619"/>
      <c r="J24" s="619"/>
      <c r="K24" s="619"/>
      <c r="L24" s="619"/>
      <c r="M24" s="619"/>
      <c r="N24" s="619"/>
      <c r="O24" s="619"/>
      <c r="P24" s="619"/>
      <c r="Q24" s="619"/>
      <c r="R24" s="619"/>
      <c r="S24" s="619"/>
      <c r="T24" s="619"/>
      <c r="U24" s="619"/>
      <c r="V24" s="619"/>
      <c r="W24" s="619"/>
      <c r="X24" s="619"/>
      <c r="Y24" s="619"/>
      <c r="Z24" s="619"/>
    </row>
    <row r="25" spans="1:26" ht="12" customHeight="1">
      <c r="A25" s="617"/>
      <c r="B25" s="894"/>
      <c r="C25" s="894"/>
      <c r="D25" s="894"/>
      <c r="E25" s="894"/>
      <c r="F25" s="894"/>
      <c r="G25" s="894"/>
      <c r="H25" s="894"/>
      <c r="I25" s="619"/>
      <c r="J25" s="619"/>
      <c r="K25" s="619"/>
      <c r="L25" s="619"/>
      <c r="M25" s="619"/>
      <c r="N25" s="619"/>
      <c r="O25" s="619"/>
      <c r="P25" s="619"/>
      <c r="Q25" s="619"/>
      <c r="R25" s="619"/>
      <c r="S25" s="619"/>
      <c r="T25" s="619"/>
      <c r="U25" s="619"/>
      <c r="V25" s="619"/>
      <c r="W25" s="619"/>
      <c r="X25" s="619"/>
      <c r="Y25" s="619"/>
      <c r="Z25" s="619"/>
    </row>
    <row r="26" spans="1:26" ht="12" customHeight="1">
      <c r="A26" s="617"/>
      <c r="B26" s="894"/>
      <c r="C26" s="894"/>
      <c r="D26" s="894"/>
      <c r="E26" s="894"/>
      <c r="F26" s="894"/>
      <c r="G26" s="894"/>
      <c r="H26" s="894"/>
      <c r="I26" s="619"/>
      <c r="J26" s="619"/>
      <c r="K26" s="619"/>
      <c r="L26" s="619"/>
      <c r="M26" s="619"/>
      <c r="N26" s="619"/>
      <c r="O26" s="619"/>
      <c r="P26" s="619"/>
      <c r="Q26" s="619"/>
      <c r="R26" s="619"/>
      <c r="S26" s="619"/>
      <c r="T26" s="619"/>
      <c r="U26" s="619"/>
      <c r="V26" s="619"/>
      <c r="W26" s="619"/>
      <c r="X26" s="619"/>
      <c r="Y26" s="619"/>
      <c r="Z26" s="619"/>
    </row>
    <row r="27" spans="1:26" ht="12" customHeight="1">
      <c r="A27" s="725"/>
      <c r="B27" s="724"/>
      <c r="C27" s="724"/>
      <c r="D27" s="724"/>
      <c r="E27" s="724"/>
      <c r="F27" s="724"/>
      <c r="G27" s="724"/>
      <c r="H27" s="724"/>
      <c r="I27" s="619"/>
      <c r="J27" s="619"/>
      <c r="K27" s="619"/>
      <c r="L27" s="619"/>
      <c r="M27" s="619"/>
      <c r="N27" s="619"/>
      <c r="O27" s="619"/>
      <c r="P27" s="619"/>
      <c r="Q27" s="619"/>
      <c r="R27" s="619"/>
      <c r="S27" s="619"/>
      <c r="T27" s="619"/>
      <c r="U27" s="619"/>
      <c r="V27" s="619"/>
      <c r="W27" s="619"/>
      <c r="X27" s="619"/>
      <c r="Y27" s="619"/>
      <c r="Z27" s="619"/>
    </row>
    <row r="28" spans="1:26" ht="12" customHeight="1">
      <c r="A28" s="725"/>
      <c r="B28" s="724"/>
      <c r="C28" s="724"/>
      <c r="D28" s="724"/>
      <c r="E28" s="724"/>
      <c r="F28" s="850" t="s">
        <v>649</v>
      </c>
      <c r="G28" s="850"/>
      <c r="H28" s="850"/>
      <c r="I28" s="619"/>
      <c r="J28" s="619"/>
      <c r="K28" s="619"/>
      <c r="L28" s="619"/>
      <c r="M28" s="619"/>
      <c r="N28" s="619"/>
      <c r="O28" s="619"/>
      <c r="P28" s="619"/>
      <c r="Q28" s="619"/>
      <c r="R28" s="619"/>
      <c r="S28" s="619"/>
      <c r="T28" s="619"/>
      <c r="U28" s="619"/>
      <c r="V28" s="619"/>
      <c r="W28" s="619"/>
      <c r="X28" s="619"/>
      <c r="Y28" s="619"/>
      <c r="Z28" s="619"/>
    </row>
    <row r="29" spans="1:26" ht="12" customHeight="1">
      <c r="A29" s="677">
        <v>3.6</v>
      </c>
      <c r="B29" s="493" t="s">
        <v>647</v>
      </c>
      <c r="C29" s="482"/>
      <c r="D29" s="482"/>
      <c r="E29" s="482"/>
      <c r="F29" s="717" t="s">
        <v>624</v>
      </c>
      <c r="G29" s="715"/>
      <c r="H29" s="717" t="s">
        <v>591</v>
      </c>
      <c r="I29" s="619"/>
      <c r="J29" s="619"/>
      <c r="K29" s="619"/>
      <c r="L29" s="619"/>
      <c r="M29" s="619"/>
      <c r="N29" s="619"/>
      <c r="O29" s="619"/>
      <c r="P29" s="619"/>
      <c r="Q29" s="619"/>
      <c r="R29" s="619"/>
      <c r="S29" s="619"/>
      <c r="T29" s="619"/>
      <c r="U29" s="619"/>
      <c r="V29" s="619"/>
      <c r="W29" s="619"/>
      <c r="X29" s="619"/>
      <c r="Y29" s="619"/>
      <c r="Z29" s="619"/>
    </row>
    <row r="30" spans="1:26" ht="12" customHeight="1">
      <c r="A30" s="679"/>
      <c r="B30" s="510" t="s">
        <v>648</v>
      </c>
      <c r="C30" s="482"/>
      <c r="D30" s="482"/>
      <c r="E30" s="482"/>
      <c r="F30" s="850" t="s">
        <v>650</v>
      </c>
      <c r="G30" s="850"/>
      <c r="H30" s="850"/>
      <c r="I30" s="619"/>
      <c r="J30" s="619"/>
      <c r="K30" s="619"/>
      <c r="L30" s="619"/>
      <c r="M30" s="619"/>
      <c r="N30" s="619"/>
      <c r="O30" s="619"/>
      <c r="P30" s="619"/>
      <c r="Q30" s="619"/>
      <c r="R30" s="619"/>
      <c r="S30" s="619"/>
      <c r="T30" s="619"/>
      <c r="U30" s="619"/>
      <c r="V30" s="619"/>
      <c r="W30" s="619"/>
      <c r="X30" s="619"/>
      <c r="Y30" s="619"/>
      <c r="Z30" s="619"/>
    </row>
    <row r="31" spans="1:26" ht="12" customHeight="1">
      <c r="A31" s="679"/>
      <c r="B31" s="510"/>
      <c r="C31" s="482"/>
      <c r="D31" s="482"/>
      <c r="E31" s="482"/>
      <c r="F31" s="867" t="s">
        <v>651</v>
      </c>
      <c r="G31" s="867"/>
      <c r="H31" s="895"/>
      <c r="I31" s="619"/>
      <c r="J31" s="619"/>
      <c r="K31" s="619"/>
      <c r="L31" s="619"/>
      <c r="M31" s="619"/>
      <c r="N31" s="619"/>
      <c r="O31" s="619"/>
      <c r="P31" s="619"/>
      <c r="Q31" s="619"/>
      <c r="R31" s="619"/>
      <c r="S31" s="619"/>
      <c r="T31" s="619"/>
      <c r="U31" s="619"/>
      <c r="V31" s="619"/>
      <c r="W31" s="619"/>
      <c r="X31" s="619"/>
      <c r="Y31" s="619"/>
      <c r="Z31" s="619"/>
    </row>
    <row r="32" spans="1:26" ht="12" customHeight="1">
      <c r="A32" s="679"/>
      <c r="B32" s="511" t="s">
        <v>454</v>
      </c>
      <c r="C32" s="482"/>
      <c r="D32" s="482"/>
      <c r="E32" s="482"/>
      <c r="F32" s="512">
        <v>77408</v>
      </c>
      <c r="G32" s="512"/>
      <c r="H32" s="512">
        <v>233448</v>
      </c>
      <c r="I32" s="619"/>
      <c r="J32" s="619"/>
      <c r="K32" s="619"/>
      <c r="L32" s="619"/>
      <c r="M32" s="619"/>
      <c r="N32" s="619"/>
      <c r="O32" s="619"/>
      <c r="P32" s="619"/>
      <c r="Q32" s="619"/>
      <c r="R32" s="619"/>
      <c r="S32" s="619"/>
      <c r="T32" s="619"/>
      <c r="U32" s="619"/>
      <c r="V32" s="619"/>
      <c r="W32" s="619"/>
      <c r="X32" s="619"/>
      <c r="Y32" s="619"/>
      <c r="Z32" s="619"/>
    </row>
    <row r="33" spans="1:26" ht="12" customHeight="1">
      <c r="A33" s="679"/>
      <c r="B33" s="513" t="s">
        <v>282</v>
      </c>
      <c r="C33" s="482"/>
      <c r="D33" s="482"/>
      <c r="E33" s="482"/>
      <c r="F33" s="514">
        <v>87269</v>
      </c>
      <c r="G33" s="512"/>
      <c r="H33" s="514">
        <v>226729</v>
      </c>
      <c r="I33" s="619"/>
      <c r="J33" s="619"/>
      <c r="K33" s="619"/>
      <c r="L33" s="619"/>
      <c r="M33" s="619"/>
      <c r="N33" s="619"/>
      <c r="O33" s="619"/>
      <c r="P33" s="619"/>
      <c r="Q33" s="619"/>
      <c r="R33" s="619"/>
      <c r="S33" s="619"/>
      <c r="T33" s="619"/>
      <c r="U33" s="619"/>
      <c r="V33" s="619"/>
      <c r="W33" s="619"/>
      <c r="X33" s="619"/>
      <c r="Y33" s="619"/>
      <c r="Z33" s="619"/>
    </row>
    <row r="34" spans="1:26" ht="12" customHeight="1" thickBot="1">
      <c r="A34" s="679"/>
      <c r="B34" s="494"/>
      <c r="C34" s="482"/>
      <c r="D34" s="482"/>
      <c r="E34" s="482"/>
      <c r="F34" s="518">
        <v>-9861</v>
      </c>
      <c r="G34" s="515"/>
      <c r="H34" s="518">
        <v>6719</v>
      </c>
      <c r="I34" s="619"/>
      <c r="J34" s="619"/>
      <c r="K34" s="619"/>
      <c r="L34" s="619"/>
      <c r="M34" s="619"/>
      <c r="N34" s="619"/>
      <c r="O34" s="619"/>
      <c r="P34" s="619"/>
      <c r="Q34" s="619"/>
      <c r="R34" s="619"/>
      <c r="S34" s="619"/>
      <c r="T34" s="619"/>
      <c r="U34" s="619"/>
      <c r="V34" s="619"/>
      <c r="W34" s="619"/>
      <c r="X34" s="619"/>
      <c r="Y34" s="619"/>
      <c r="Z34" s="619"/>
    </row>
    <row r="35" spans="1:26" ht="12" customHeight="1" thickTop="1">
      <c r="A35" s="725"/>
      <c r="B35" s="724"/>
      <c r="C35" s="724"/>
      <c r="D35" s="724"/>
      <c r="E35" s="724"/>
      <c r="F35" s="724"/>
      <c r="G35" s="724"/>
      <c r="H35" s="724"/>
      <c r="I35" s="619"/>
      <c r="J35" s="619"/>
      <c r="K35" s="619"/>
      <c r="L35" s="619"/>
      <c r="M35" s="619"/>
      <c r="N35" s="619"/>
      <c r="O35" s="619"/>
      <c r="P35" s="619"/>
      <c r="Q35" s="619"/>
      <c r="R35" s="619"/>
      <c r="S35" s="619"/>
      <c r="T35" s="619"/>
      <c r="U35" s="619"/>
      <c r="V35" s="619"/>
      <c r="W35" s="619"/>
      <c r="X35" s="619"/>
      <c r="Y35" s="619"/>
      <c r="Z35" s="619"/>
    </row>
    <row r="36" spans="1:26" ht="12" customHeight="1">
      <c r="A36" s="725"/>
      <c r="B36" s="724"/>
      <c r="C36" s="724"/>
      <c r="D36" s="724"/>
      <c r="E36" s="724"/>
      <c r="F36" s="850" t="s">
        <v>649</v>
      </c>
      <c r="G36" s="850"/>
      <c r="H36" s="850"/>
      <c r="I36" s="619"/>
      <c r="J36" s="619"/>
      <c r="K36" s="619"/>
      <c r="L36" s="619"/>
      <c r="M36" s="619"/>
      <c r="N36" s="619"/>
      <c r="O36" s="619"/>
      <c r="P36" s="619"/>
      <c r="Q36" s="619"/>
      <c r="R36" s="619"/>
      <c r="S36" s="619"/>
      <c r="T36" s="619"/>
      <c r="U36" s="619"/>
      <c r="V36" s="619"/>
      <c r="W36" s="619"/>
      <c r="X36" s="619"/>
      <c r="Y36" s="619"/>
      <c r="Z36" s="619"/>
    </row>
    <row r="37" spans="1:26" ht="12" customHeight="1">
      <c r="A37" s="107">
        <v>3.7</v>
      </c>
      <c r="B37" s="493" t="s">
        <v>506</v>
      </c>
      <c r="C37" s="482"/>
      <c r="D37" s="482"/>
      <c r="E37" s="482"/>
      <c r="F37" s="717" t="s">
        <v>624</v>
      </c>
      <c r="G37" s="715"/>
      <c r="H37" s="717" t="s">
        <v>591</v>
      </c>
    </row>
    <row r="38" spans="1:26" ht="12" customHeight="1">
      <c r="A38" s="118"/>
      <c r="B38" s="510" t="s">
        <v>430</v>
      </c>
      <c r="C38" s="482"/>
      <c r="D38" s="482"/>
      <c r="E38" s="482"/>
      <c r="F38" s="850" t="s">
        <v>650</v>
      </c>
      <c r="G38" s="850"/>
      <c r="H38" s="850"/>
    </row>
    <row r="39" spans="1:26" ht="12" customHeight="1">
      <c r="A39" s="118"/>
      <c r="B39" s="510"/>
      <c r="C39" s="482"/>
      <c r="D39" s="482"/>
      <c r="E39" s="482"/>
      <c r="F39" s="867" t="s">
        <v>651</v>
      </c>
      <c r="G39" s="867"/>
      <c r="H39" s="895"/>
    </row>
    <row r="40" spans="1:26" ht="12" customHeight="1">
      <c r="A40" s="118"/>
      <c r="B40" s="511" t="s">
        <v>454</v>
      </c>
      <c r="C40" s="482"/>
      <c r="D40" s="482"/>
      <c r="E40" s="482"/>
      <c r="F40" s="512">
        <v>7356051</v>
      </c>
      <c r="G40" s="512"/>
      <c r="H40" s="512">
        <v>7540865</v>
      </c>
    </row>
    <row r="41" spans="1:26" ht="12" customHeight="1">
      <c r="A41" s="118"/>
      <c r="B41" s="513" t="s">
        <v>282</v>
      </c>
      <c r="C41" s="482"/>
      <c r="D41" s="482"/>
      <c r="E41" s="482"/>
      <c r="F41" s="514">
        <v>3900047</v>
      </c>
      <c r="G41" s="512"/>
      <c r="H41" s="514">
        <v>3847049</v>
      </c>
    </row>
    <row r="42" spans="1:26" ht="12" customHeight="1">
      <c r="A42" s="118"/>
      <c r="B42" s="494"/>
      <c r="C42" s="482"/>
      <c r="D42" s="482"/>
      <c r="E42" s="482"/>
      <c r="F42" s="515">
        <v>3456004</v>
      </c>
      <c r="G42" s="515"/>
      <c r="H42" s="515">
        <v>3693816</v>
      </c>
    </row>
    <row r="43" spans="1:26" ht="12" customHeight="1">
      <c r="A43" s="118"/>
      <c r="B43" s="484" t="s">
        <v>499</v>
      </c>
      <c r="C43" s="482"/>
      <c r="D43" s="482"/>
      <c r="E43" s="482"/>
      <c r="F43" s="482"/>
      <c r="G43" s="482"/>
      <c r="H43" s="482"/>
    </row>
    <row r="44" spans="1:26" ht="12" customHeight="1">
      <c r="A44" s="118"/>
      <c r="B44" s="516" t="s">
        <v>507</v>
      </c>
      <c r="C44" s="482"/>
      <c r="D44" s="482"/>
      <c r="E44" s="482"/>
      <c r="F44" s="517">
        <v>4256493</v>
      </c>
      <c r="G44" s="482"/>
      <c r="H44" s="517">
        <v>3774880</v>
      </c>
    </row>
    <row r="45" spans="1:26" ht="12" customHeight="1" thickBot="1">
      <c r="A45" s="118"/>
      <c r="B45" s="484" t="s">
        <v>510</v>
      </c>
      <c r="C45" s="482"/>
      <c r="D45" s="482"/>
      <c r="E45" s="482"/>
      <c r="F45" s="518">
        <v>-800489</v>
      </c>
      <c r="G45" s="482"/>
      <c r="H45" s="518">
        <v>-81064</v>
      </c>
    </row>
    <row r="46" spans="1:26" ht="12" customHeight="1" thickTop="1">
      <c r="A46" s="118"/>
      <c r="B46" s="516"/>
      <c r="C46" s="482"/>
      <c r="D46" s="482"/>
      <c r="E46" s="482"/>
      <c r="F46" s="561"/>
      <c r="G46" s="482"/>
      <c r="H46" s="561"/>
    </row>
    <row r="47" spans="1:26" ht="12" customHeight="1">
      <c r="A47" s="107">
        <v>3.8000000000000003</v>
      </c>
      <c r="B47" s="486" t="s">
        <v>127</v>
      </c>
      <c r="C47" s="490"/>
      <c r="D47" s="490"/>
      <c r="E47" s="490"/>
      <c r="F47" s="487"/>
      <c r="G47" s="499"/>
      <c r="H47" s="487"/>
    </row>
    <row r="48" spans="1:26" ht="12" customHeight="1">
      <c r="A48" s="118"/>
      <c r="B48" s="489"/>
      <c r="C48" s="490"/>
      <c r="D48" s="490"/>
      <c r="E48" s="490"/>
      <c r="F48" s="487"/>
      <c r="G48" s="499"/>
      <c r="H48" s="487"/>
    </row>
    <row r="49" spans="1:8" ht="12" customHeight="1">
      <c r="A49" s="118"/>
      <c r="B49" s="893" t="s">
        <v>796</v>
      </c>
      <c r="C49" s="893"/>
      <c r="D49" s="893"/>
      <c r="E49" s="893"/>
      <c r="F49" s="893"/>
      <c r="G49" s="893"/>
      <c r="H49" s="893"/>
    </row>
    <row r="50" spans="1:8" ht="12" customHeight="1">
      <c r="A50" s="118"/>
      <c r="B50" s="893"/>
      <c r="C50" s="893"/>
      <c r="D50" s="893"/>
      <c r="E50" s="893"/>
      <c r="F50" s="893"/>
      <c r="G50" s="893"/>
      <c r="H50" s="893"/>
    </row>
    <row r="51" spans="1:8" ht="12" customHeight="1">
      <c r="A51" s="118"/>
      <c r="B51" s="893"/>
      <c r="C51" s="893"/>
      <c r="D51" s="893"/>
      <c r="E51" s="893"/>
      <c r="F51" s="893"/>
      <c r="G51" s="893"/>
      <c r="H51" s="893"/>
    </row>
    <row r="52" spans="1:8" ht="12" customHeight="1">
      <c r="A52" s="118"/>
      <c r="B52" s="893"/>
      <c r="C52" s="893"/>
      <c r="D52" s="893"/>
      <c r="E52" s="893"/>
      <c r="F52" s="893"/>
      <c r="G52" s="893"/>
      <c r="H52" s="893"/>
    </row>
    <row r="53" spans="1:8" ht="12" customHeight="1">
      <c r="A53" s="118"/>
      <c r="B53" s="893"/>
      <c r="C53" s="893"/>
      <c r="D53" s="893"/>
      <c r="E53" s="893"/>
      <c r="F53" s="893"/>
      <c r="G53" s="893"/>
      <c r="H53" s="893"/>
    </row>
    <row r="54" spans="1:8" ht="12" customHeight="1">
      <c r="A54" s="679"/>
      <c r="B54" s="770"/>
      <c r="C54" s="770"/>
      <c r="D54" s="770"/>
      <c r="E54" s="770"/>
      <c r="F54" s="770"/>
      <c r="G54" s="770"/>
      <c r="H54" s="770"/>
    </row>
    <row r="55" spans="1:8" ht="12" customHeight="1"/>
    <row r="56" spans="1:8" ht="12" customHeight="1"/>
    <row r="57" spans="1:8" ht="12" customHeight="1"/>
    <row r="58" spans="1:8" ht="12" customHeight="1"/>
    <row r="59" spans="1:8" ht="12" customHeight="1"/>
    <row r="60" spans="1:8" ht="12" customHeight="1"/>
    <row r="61" spans="1:8" ht="12" customHeight="1"/>
    <row r="62" spans="1:8" ht="12" customHeight="1"/>
    <row r="63" spans="1:8" ht="12" customHeight="1"/>
    <row r="64" spans="1: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sheetData>
  <mergeCells count="13">
    <mergeCell ref="C21:H22"/>
    <mergeCell ref="B2:H7"/>
    <mergeCell ref="B9:H11"/>
    <mergeCell ref="F14:H14"/>
    <mergeCell ref="C19:H20"/>
    <mergeCell ref="B49:H53"/>
    <mergeCell ref="B23:H26"/>
    <mergeCell ref="F36:H36"/>
    <mergeCell ref="F38:H38"/>
    <mergeCell ref="F39:H39"/>
    <mergeCell ref="F28:H28"/>
    <mergeCell ref="F30:H30"/>
    <mergeCell ref="F31:H31"/>
  </mergeCells>
  <printOptions horizontalCentered="1"/>
  <pageMargins left="0.75" right="0.5" top="0.5" bottom="0.25" header="0.3" footer="0.3"/>
  <pageSetup paperSize="9" orientation="portrait" r:id="rId1"/>
  <headerFooter>
    <oddFooter>&amp;C10 of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93"/>
  <sheetViews>
    <sheetView view="pageBreakPreview" topLeftCell="A46" zoomScaleSheetLayoutView="100" workbookViewId="0">
      <selection activeCell="K13" sqref="K1:O1048576"/>
    </sheetView>
  </sheetViews>
  <sheetFormatPr defaultColWidth="10.25" defaultRowHeight="12"/>
  <cols>
    <col min="1" max="1" width="4.375" style="393" customWidth="1"/>
    <col min="2" max="2" width="3.625" style="181" customWidth="1"/>
    <col min="3" max="3" width="35.125" style="181" customWidth="1"/>
    <col min="4" max="4" width="10.25" style="181" customWidth="1"/>
    <col min="5" max="5" width="0.5" style="181" customWidth="1"/>
    <col min="6" max="6" width="4.375" style="181" customWidth="1"/>
    <col min="7" max="7" width="0.5" style="181" customWidth="1"/>
    <col min="8" max="8" width="12.875" style="181" customWidth="1"/>
    <col min="9" max="9" width="0.5" style="181" customWidth="1"/>
    <col min="10" max="10" width="11.75" style="181" customWidth="1"/>
    <col min="11" max="16384" width="10.25" style="181"/>
  </cols>
  <sheetData>
    <row r="1" spans="1:10" ht="15">
      <c r="A1" s="522">
        <v>4</v>
      </c>
      <c r="B1" s="497" t="s">
        <v>592</v>
      </c>
      <c r="C1" s="691"/>
      <c r="D1" s="688"/>
      <c r="E1" s="690"/>
      <c r="H1" s="763" t="s">
        <v>645</v>
      </c>
      <c r="I1" s="766"/>
      <c r="J1" s="763" t="s">
        <v>646</v>
      </c>
    </row>
    <row r="2" spans="1:10" ht="15">
      <c r="A2" s="181"/>
      <c r="B2" s="691"/>
      <c r="C2" s="691"/>
      <c r="D2" s="688"/>
      <c r="E2" s="689"/>
      <c r="H2" s="764" t="s">
        <v>271</v>
      </c>
      <c r="I2" s="766"/>
      <c r="J2" s="764" t="s">
        <v>181</v>
      </c>
    </row>
    <row r="3" spans="1:10" ht="15">
      <c r="A3" s="181"/>
      <c r="B3" s="691"/>
      <c r="C3" s="691"/>
      <c r="D3" s="692"/>
      <c r="E3" s="692"/>
      <c r="H3" s="867" t="s">
        <v>179</v>
      </c>
      <c r="I3" s="867"/>
      <c r="J3" s="867"/>
    </row>
    <row r="4" spans="1:10" ht="15">
      <c r="A4" s="679"/>
      <c r="B4" s="491" t="s">
        <v>593</v>
      </c>
      <c r="C4" s="664"/>
      <c r="D4" s="664"/>
      <c r="E4" s="664"/>
      <c r="H4" s="838">
        <v>77368</v>
      </c>
      <c r="I4" s="688"/>
      <c r="J4" s="838">
        <v>5251</v>
      </c>
    </row>
    <row r="5" spans="1:10" ht="15">
      <c r="A5" s="679"/>
      <c r="B5" s="491" t="s">
        <v>676</v>
      </c>
      <c r="C5" s="664"/>
      <c r="D5" s="664"/>
      <c r="E5" s="664"/>
      <c r="H5" s="838">
        <v>765</v>
      </c>
      <c r="I5" s="688"/>
      <c r="J5" s="838">
        <v>5236</v>
      </c>
    </row>
    <row r="6" spans="1:10" ht="15.75" thickBot="1">
      <c r="A6" s="679"/>
      <c r="B6" s="664"/>
      <c r="C6" s="664"/>
      <c r="D6" s="664"/>
      <c r="E6" s="664"/>
      <c r="H6" s="839">
        <v>78133</v>
      </c>
      <c r="I6" s="693"/>
      <c r="J6" s="839">
        <v>10487</v>
      </c>
    </row>
    <row r="7" spans="1:10" ht="5.25" customHeight="1" thickTop="1">
      <c r="A7" s="679"/>
      <c r="B7" s="664"/>
      <c r="C7" s="664"/>
      <c r="D7" s="664"/>
      <c r="E7" s="664"/>
      <c r="H7" s="770"/>
      <c r="I7" s="770"/>
      <c r="J7" s="770"/>
    </row>
    <row r="8" spans="1:10">
      <c r="A8" s="389">
        <v>5</v>
      </c>
      <c r="B8" s="504" t="s">
        <v>267</v>
      </c>
      <c r="C8" s="501"/>
      <c r="D8" s="503"/>
      <c r="E8" s="502"/>
      <c r="F8" s="500"/>
      <c r="G8" s="500"/>
      <c r="H8" s="500"/>
    </row>
    <row r="9" spans="1:10" ht="3" customHeight="1">
      <c r="A9" s="389"/>
      <c r="B9" s="501"/>
      <c r="C9" s="501"/>
      <c r="D9" s="503"/>
      <c r="E9" s="502"/>
      <c r="F9" s="500"/>
      <c r="G9" s="500"/>
      <c r="H9" s="500"/>
    </row>
    <row r="10" spans="1:10">
      <c r="A10" s="523"/>
      <c r="B10" s="907" t="s">
        <v>500</v>
      </c>
      <c r="C10" s="907"/>
      <c r="D10" s="907"/>
      <c r="E10" s="907"/>
      <c r="F10" s="907"/>
      <c r="G10" s="907"/>
      <c r="H10" s="904"/>
      <c r="I10" s="897"/>
      <c r="J10" s="897"/>
    </row>
    <row r="11" spans="1:10">
      <c r="A11" s="374"/>
      <c r="B11" s="907"/>
      <c r="C11" s="907"/>
      <c r="D11" s="907"/>
      <c r="E11" s="907"/>
      <c r="F11" s="907"/>
      <c r="G11" s="907"/>
      <c r="H11" s="904"/>
      <c r="I11" s="897"/>
      <c r="J11" s="897"/>
    </row>
    <row r="12" spans="1:10">
      <c r="A12" s="374"/>
      <c r="B12" s="907"/>
      <c r="C12" s="907"/>
      <c r="D12" s="907"/>
      <c r="E12" s="907"/>
      <c r="F12" s="907"/>
      <c r="G12" s="907"/>
      <c r="H12" s="904"/>
      <c r="I12" s="897"/>
      <c r="J12" s="897"/>
    </row>
    <row r="13" spans="1:10">
      <c r="A13" s="374"/>
      <c r="B13" s="907"/>
      <c r="C13" s="907"/>
      <c r="D13" s="907"/>
      <c r="E13" s="907"/>
      <c r="F13" s="907"/>
      <c r="G13" s="907"/>
      <c r="H13" s="904"/>
      <c r="I13" s="897"/>
      <c r="J13" s="897"/>
    </row>
    <row r="14" spans="1:10" ht="3" customHeight="1"/>
    <row r="15" spans="1:10" ht="12" customHeight="1">
      <c r="A15" s="389">
        <v>6</v>
      </c>
      <c r="B15" s="504" t="s">
        <v>594</v>
      </c>
      <c r="C15" s="483"/>
      <c r="D15" s="483"/>
      <c r="E15" s="483"/>
      <c r="H15" s="717" t="s">
        <v>645</v>
      </c>
      <c r="I15" s="715"/>
      <c r="J15" s="717" t="s">
        <v>646</v>
      </c>
    </row>
    <row r="16" spans="1:10" ht="12" customHeight="1">
      <c r="A16" s="374"/>
      <c r="B16" s="483"/>
      <c r="C16" s="483"/>
      <c r="D16" s="483"/>
      <c r="E16" s="483"/>
      <c r="H16" s="718" t="s">
        <v>271</v>
      </c>
      <c r="I16" s="715"/>
      <c r="J16" s="718" t="s">
        <v>181</v>
      </c>
    </row>
    <row r="17" spans="1:10" ht="12" customHeight="1">
      <c r="A17" s="374"/>
      <c r="B17" s="483"/>
      <c r="C17" s="483"/>
      <c r="D17" s="483"/>
      <c r="E17" s="483"/>
      <c r="H17" s="908" t="s">
        <v>429</v>
      </c>
      <c r="I17" s="908"/>
      <c r="J17" s="908"/>
    </row>
    <row r="18" spans="1:10" ht="12" customHeight="1">
      <c r="A18" s="374"/>
      <c r="B18" s="184" t="s">
        <v>389</v>
      </c>
      <c r="C18" s="483"/>
      <c r="D18" s="483"/>
      <c r="E18" s="483"/>
      <c r="F18" s="725">
        <v>6.1</v>
      </c>
      <c r="H18" s="610">
        <v>61528</v>
      </c>
      <c r="I18" s="500"/>
      <c r="J18" s="610">
        <v>61528</v>
      </c>
    </row>
    <row r="19" spans="1:10" ht="12" customHeight="1">
      <c r="A19" s="374"/>
      <c r="B19" s="184" t="s">
        <v>652</v>
      </c>
      <c r="C19" s="483"/>
      <c r="D19" s="483"/>
      <c r="E19" s="483"/>
      <c r="F19" s="725">
        <v>6.2</v>
      </c>
      <c r="H19" s="610">
        <v>58486</v>
      </c>
      <c r="I19" s="500"/>
      <c r="J19" s="610">
        <v>51903</v>
      </c>
    </row>
    <row r="20" spans="1:10" ht="12" customHeight="1">
      <c r="A20" s="374"/>
      <c r="B20" s="184" t="s">
        <v>362</v>
      </c>
      <c r="C20" s="483"/>
      <c r="D20" s="483"/>
      <c r="E20" s="483"/>
      <c r="H20" s="610">
        <v>569</v>
      </c>
      <c r="I20" s="500"/>
      <c r="J20" s="610">
        <v>399</v>
      </c>
    </row>
    <row r="21" spans="1:10" ht="12" customHeight="1">
      <c r="A21" s="374"/>
      <c r="B21" s="491" t="s">
        <v>351</v>
      </c>
      <c r="C21" s="483"/>
      <c r="D21" s="483"/>
      <c r="E21" s="483"/>
      <c r="H21" s="610">
        <v>50</v>
      </c>
      <c r="I21" s="500"/>
      <c r="J21" s="610">
        <v>50</v>
      </c>
    </row>
    <row r="22" spans="1:10" ht="12" customHeight="1">
      <c r="A22" s="374"/>
      <c r="B22" s="491" t="s">
        <v>595</v>
      </c>
      <c r="C22" s="483"/>
      <c r="D22" s="483"/>
      <c r="E22" s="483"/>
      <c r="H22" s="610">
        <v>20</v>
      </c>
      <c r="I22" s="500"/>
      <c r="J22" s="610">
        <v>20</v>
      </c>
    </row>
    <row r="23" spans="1:10" ht="12" customHeight="1">
      <c r="A23" s="374"/>
      <c r="B23" s="491" t="s">
        <v>653</v>
      </c>
      <c r="C23" s="483"/>
      <c r="D23" s="483"/>
      <c r="E23" s="483"/>
      <c r="H23" s="610">
        <v>2250</v>
      </c>
      <c r="I23" s="500"/>
      <c r="J23" s="610">
        <v>2250</v>
      </c>
    </row>
    <row r="24" spans="1:10" ht="12" customHeight="1">
      <c r="A24" s="374"/>
      <c r="B24" s="491" t="s">
        <v>618</v>
      </c>
      <c r="C24" s="483"/>
      <c r="D24" s="483"/>
      <c r="E24" s="483"/>
      <c r="H24" s="610">
        <v>388</v>
      </c>
      <c r="I24" s="500"/>
      <c r="J24" s="610">
        <v>563</v>
      </c>
    </row>
    <row r="25" spans="1:10" ht="12" customHeight="1">
      <c r="A25" s="374"/>
      <c r="B25" s="491" t="s">
        <v>596</v>
      </c>
      <c r="C25" s="483"/>
      <c r="D25" s="483"/>
      <c r="E25" s="483"/>
      <c r="H25" s="610">
        <v>75</v>
      </c>
      <c r="I25" s="500"/>
      <c r="J25" s="610">
        <v>0</v>
      </c>
    </row>
    <row r="26" spans="1:10" ht="12" customHeight="1" thickBot="1">
      <c r="A26" s="374"/>
      <c r="B26" s="483"/>
      <c r="C26" s="483"/>
      <c r="D26" s="483"/>
      <c r="E26" s="483"/>
      <c r="H26" s="660">
        <v>123367</v>
      </c>
      <c r="I26" s="500"/>
      <c r="J26" s="660">
        <v>116713</v>
      </c>
    </row>
    <row r="27" spans="1:10" ht="12" customHeight="1" thickTop="1">
      <c r="A27" s="398">
        <v>6.1</v>
      </c>
      <c r="B27" s="488" t="s">
        <v>413</v>
      </c>
      <c r="C27" s="526"/>
      <c r="D27" s="485"/>
      <c r="E27" s="527"/>
      <c r="F27" s="485"/>
      <c r="G27" s="527"/>
      <c r="H27" s="485"/>
    </row>
    <row r="28" spans="1:10" ht="2.25" customHeight="1">
      <c r="A28" s="485"/>
      <c r="B28" s="485"/>
      <c r="C28" s="485"/>
      <c r="D28" s="485"/>
      <c r="E28" s="527"/>
      <c r="F28" s="485"/>
      <c r="G28" s="527"/>
      <c r="H28" s="485"/>
    </row>
    <row r="29" spans="1:10" ht="12" customHeight="1">
      <c r="A29" s="485"/>
      <c r="B29" s="909" t="s">
        <v>468</v>
      </c>
      <c r="C29" s="909"/>
      <c r="D29" s="909"/>
      <c r="E29" s="909"/>
      <c r="F29" s="909"/>
      <c r="G29" s="909"/>
      <c r="H29" s="909"/>
      <c r="I29" s="910"/>
      <c r="J29" s="910"/>
    </row>
    <row r="30" spans="1:10" ht="12" customHeight="1">
      <c r="A30" s="485"/>
      <c r="B30" s="909"/>
      <c r="C30" s="909"/>
      <c r="D30" s="909"/>
      <c r="E30" s="909"/>
      <c r="F30" s="909"/>
      <c r="G30" s="909"/>
      <c r="H30" s="909"/>
      <c r="I30" s="910"/>
      <c r="J30" s="910"/>
    </row>
    <row r="31" spans="1:10" ht="12" customHeight="1">
      <c r="A31" s="485"/>
      <c r="B31" s="909"/>
      <c r="C31" s="909"/>
      <c r="D31" s="909"/>
      <c r="E31" s="909"/>
      <c r="F31" s="909"/>
      <c r="G31" s="909"/>
      <c r="H31" s="909"/>
      <c r="I31" s="910"/>
      <c r="J31" s="910"/>
    </row>
    <row r="32" spans="1:10" ht="12" customHeight="1">
      <c r="A32" s="485"/>
      <c r="B32" s="909"/>
      <c r="C32" s="909"/>
      <c r="D32" s="909"/>
      <c r="E32" s="909"/>
      <c r="F32" s="909"/>
      <c r="G32" s="909"/>
      <c r="H32" s="909"/>
      <c r="I32" s="910"/>
      <c r="J32" s="910"/>
    </row>
    <row r="33" spans="1:10" ht="12" customHeight="1">
      <c r="A33" s="485"/>
      <c r="B33" s="909"/>
      <c r="C33" s="909"/>
      <c r="D33" s="909"/>
      <c r="E33" s="909"/>
      <c r="F33" s="909"/>
      <c r="G33" s="909"/>
      <c r="H33" s="909"/>
      <c r="I33" s="910"/>
      <c r="J33" s="910"/>
    </row>
    <row r="34" spans="1:10" ht="12" customHeight="1">
      <c r="A34" s="485"/>
      <c r="B34" s="909"/>
      <c r="C34" s="909"/>
      <c r="D34" s="909"/>
      <c r="E34" s="909"/>
      <c r="F34" s="909"/>
      <c r="G34" s="909"/>
      <c r="H34" s="909"/>
      <c r="I34" s="910"/>
      <c r="J34" s="910"/>
    </row>
    <row r="35" spans="1:10" ht="12" customHeight="1">
      <c r="A35" s="485"/>
      <c r="B35" s="909"/>
      <c r="C35" s="909"/>
      <c r="D35" s="909"/>
      <c r="E35" s="909"/>
      <c r="F35" s="909"/>
      <c r="G35" s="909"/>
      <c r="H35" s="909"/>
      <c r="I35" s="910"/>
      <c r="J35" s="910"/>
    </row>
    <row r="36" spans="1:10" ht="3.75" customHeight="1">
      <c r="A36" s="181"/>
    </row>
    <row r="37" spans="1:10" ht="12" customHeight="1">
      <c r="B37" s="909" t="s">
        <v>612</v>
      </c>
      <c r="C37" s="909"/>
      <c r="D37" s="909"/>
      <c r="E37" s="909"/>
      <c r="F37" s="909"/>
      <c r="G37" s="909"/>
      <c r="H37" s="909"/>
      <c r="I37" s="910"/>
      <c r="J37" s="910"/>
    </row>
    <row r="38" spans="1:10" ht="12" customHeight="1">
      <c r="B38" s="909"/>
      <c r="C38" s="909"/>
      <c r="D38" s="909"/>
      <c r="E38" s="909"/>
      <c r="F38" s="909"/>
      <c r="G38" s="909"/>
      <c r="H38" s="909"/>
      <c r="I38" s="910"/>
      <c r="J38" s="910"/>
    </row>
    <row r="39" spans="1:10" ht="12" customHeight="1">
      <c r="B39" s="909"/>
      <c r="C39" s="909"/>
      <c r="D39" s="909"/>
      <c r="E39" s="909"/>
      <c r="F39" s="909"/>
      <c r="G39" s="909"/>
      <c r="H39" s="909"/>
      <c r="I39" s="910"/>
      <c r="J39" s="910"/>
    </row>
    <row r="40" spans="1:10" ht="12" customHeight="1">
      <c r="B40" s="909"/>
      <c r="C40" s="909"/>
      <c r="D40" s="909"/>
      <c r="E40" s="909"/>
      <c r="F40" s="909"/>
      <c r="G40" s="909"/>
      <c r="H40" s="909"/>
      <c r="I40" s="910"/>
      <c r="J40" s="910"/>
    </row>
    <row r="41" spans="1:10" ht="12" customHeight="1">
      <c r="B41" s="909"/>
      <c r="C41" s="909"/>
      <c r="D41" s="909"/>
      <c r="E41" s="909"/>
      <c r="F41" s="909"/>
      <c r="G41" s="909"/>
      <c r="H41" s="909"/>
      <c r="I41" s="910"/>
      <c r="J41" s="910"/>
    </row>
    <row r="42" spans="1:10" ht="5.25" customHeight="1">
      <c r="I42" s="381"/>
    </row>
    <row r="43" spans="1:10" ht="12" customHeight="1">
      <c r="B43" s="904" t="s">
        <v>776</v>
      </c>
      <c r="C43" s="904"/>
      <c r="D43" s="904"/>
      <c r="E43" s="904"/>
      <c r="F43" s="904"/>
      <c r="G43" s="904"/>
      <c r="H43" s="904"/>
      <c r="I43" s="897"/>
      <c r="J43" s="897"/>
    </row>
    <row r="44" spans="1:10" ht="12" customHeight="1">
      <c r="B44" s="904"/>
      <c r="C44" s="904"/>
      <c r="D44" s="904"/>
      <c r="E44" s="904"/>
      <c r="F44" s="904"/>
      <c r="G44" s="904"/>
      <c r="H44" s="904"/>
      <c r="I44" s="897"/>
      <c r="J44" s="897"/>
    </row>
    <row r="45" spans="1:10" ht="12" customHeight="1">
      <c r="B45" s="904"/>
      <c r="C45" s="904"/>
      <c r="D45" s="904"/>
      <c r="E45" s="904"/>
      <c r="F45" s="904"/>
      <c r="G45" s="904"/>
      <c r="H45" s="904"/>
      <c r="I45" s="897"/>
      <c r="J45" s="897"/>
    </row>
    <row r="46" spans="1:10" ht="12" customHeight="1">
      <c r="B46" s="904"/>
      <c r="C46" s="904"/>
      <c r="D46" s="904"/>
      <c r="E46" s="904"/>
      <c r="F46" s="904"/>
      <c r="G46" s="904"/>
      <c r="H46" s="904"/>
      <c r="I46" s="897"/>
      <c r="J46" s="897"/>
    </row>
    <row r="47" spans="1:10" ht="12" customHeight="1">
      <c r="B47" s="904"/>
      <c r="C47" s="904"/>
      <c r="D47" s="904"/>
      <c r="E47" s="904"/>
      <c r="F47" s="904"/>
      <c r="G47" s="904"/>
      <c r="H47" s="904"/>
      <c r="I47" s="897"/>
      <c r="J47" s="897"/>
    </row>
    <row r="48" spans="1:10" ht="12" customHeight="1">
      <c r="B48" s="904"/>
      <c r="C48" s="904"/>
      <c r="D48" s="904"/>
      <c r="E48" s="904"/>
      <c r="F48" s="904"/>
      <c r="G48" s="904"/>
      <c r="H48" s="904"/>
      <c r="I48" s="897"/>
      <c r="J48" s="897"/>
    </row>
    <row r="49" spans="1:10" ht="12" customHeight="1">
      <c r="B49" s="904"/>
      <c r="C49" s="904"/>
      <c r="D49" s="904"/>
      <c r="E49" s="904"/>
      <c r="F49" s="904"/>
      <c r="G49" s="904"/>
      <c r="H49" s="904"/>
      <c r="I49" s="897"/>
      <c r="J49" s="897"/>
    </row>
    <row r="50" spans="1:10" ht="12" customHeight="1">
      <c r="B50" s="904"/>
      <c r="C50" s="904"/>
      <c r="D50" s="904"/>
      <c r="E50" s="904"/>
      <c r="F50" s="904"/>
      <c r="G50" s="904"/>
      <c r="H50" s="904"/>
      <c r="I50" s="897"/>
      <c r="J50" s="897"/>
    </row>
    <row r="51" spans="1:10" ht="12" customHeight="1">
      <c r="B51" s="904"/>
      <c r="C51" s="904"/>
      <c r="D51" s="904"/>
      <c r="E51" s="904"/>
      <c r="F51" s="904"/>
      <c r="G51" s="904"/>
      <c r="H51" s="904"/>
      <c r="I51" s="897"/>
      <c r="J51" s="897"/>
    </row>
    <row r="52" spans="1:10" ht="12" customHeight="1">
      <c r="B52" s="904"/>
      <c r="C52" s="904"/>
      <c r="D52" s="904"/>
      <c r="E52" s="904"/>
      <c r="F52" s="904"/>
      <c r="G52" s="904"/>
      <c r="H52" s="904"/>
      <c r="I52" s="897"/>
      <c r="J52" s="897"/>
    </row>
    <row r="53" spans="1:10" ht="2.25" customHeight="1">
      <c r="B53" s="768"/>
      <c r="C53" s="768"/>
      <c r="D53" s="768"/>
      <c r="E53" s="768"/>
      <c r="F53" s="768"/>
      <c r="G53" s="768"/>
      <c r="H53" s="768"/>
      <c r="I53" s="765"/>
      <c r="J53" s="765"/>
    </row>
    <row r="54" spans="1:10" ht="12" customHeight="1">
      <c r="B54" s="904" t="s">
        <v>775</v>
      </c>
      <c r="C54" s="897"/>
      <c r="D54" s="897"/>
      <c r="E54" s="897"/>
      <c r="F54" s="897"/>
      <c r="G54" s="897"/>
      <c r="H54" s="897"/>
      <c r="I54" s="897"/>
      <c r="J54" s="897"/>
    </row>
    <row r="55" spans="1:10" ht="12" customHeight="1">
      <c r="B55" s="897"/>
      <c r="C55" s="897"/>
      <c r="D55" s="897"/>
      <c r="E55" s="897"/>
      <c r="F55" s="897"/>
      <c r="G55" s="897"/>
      <c r="H55" s="897"/>
      <c r="I55" s="897"/>
      <c r="J55" s="897"/>
    </row>
    <row r="56" spans="1:10" ht="12" customHeight="1">
      <c r="B56" s="897"/>
      <c r="C56" s="897"/>
      <c r="D56" s="897"/>
      <c r="E56" s="897"/>
      <c r="F56" s="897"/>
      <c r="G56" s="897"/>
      <c r="H56" s="897"/>
      <c r="I56" s="897"/>
      <c r="J56" s="897"/>
    </row>
    <row r="57" spans="1:10" ht="5.25" customHeight="1">
      <c r="B57" s="698"/>
      <c r="C57" s="698"/>
      <c r="D57" s="698"/>
      <c r="E57" s="698"/>
      <c r="F57" s="698"/>
      <c r="G57" s="698"/>
      <c r="H57" s="698"/>
      <c r="I57" s="698"/>
      <c r="J57" s="656"/>
    </row>
    <row r="58" spans="1:10" ht="12" customHeight="1">
      <c r="A58" s="393">
        <v>6.2</v>
      </c>
      <c r="B58" s="905" t="s">
        <v>658</v>
      </c>
      <c r="C58" s="905"/>
      <c r="D58" s="905"/>
      <c r="E58" s="905"/>
      <c r="F58" s="905"/>
      <c r="G58" s="905"/>
      <c r="H58" s="905"/>
      <c r="I58" s="906"/>
      <c r="J58" s="906"/>
    </row>
    <row r="59" spans="1:10" ht="12" customHeight="1">
      <c r="B59" s="905"/>
      <c r="C59" s="905"/>
      <c r="D59" s="905"/>
      <c r="E59" s="905"/>
      <c r="F59" s="905"/>
      <c r="G59" s="905"/>
      <c r="H59" s="905"/>
      <c r="I59" s="906"/>
      <c r="J59" s="906"/>
    </row>
    <row r="60" spans="1:10" ht="12" customHeight="1">
      <c r="B60" s="905"/>
      <c r="C60" s="905"/>
      <c r="D60" s="905"/>
      <c r="E60" s="905"/>
      <c r="F60" s="905"/>
      <c r="G60" s="905"/>
      <c r="H60" s="905"/>
      <c r="I60" s="906"/>
      <c r="J60" s="906"/>
    </row>
    <row r="61" spans="1:10" ht="12" customHeight="1">
      <c r="B61" s="905"/>
      <c r="C61" s="905"/>
      <c r="D61" s="905"/>
      <c r="E61" s="905"/>
      <c r="F61" s="905"/>
      <c r="G61" s="905"/>
      <c r="H61" s="905"/>
      <c r="I61" s="906"/>
      <c r="J61" s="906"/>
    </row>
    <row r="62" spans="1:10" ht="12" customHeight="1">
      <c r="B62" s="905"/>
      <c r="C62" s="905"/>
      <c r="D62" s="905"/>
      <c r="E62" s="905"/>
      <c r="F62" s="905"/>
      <c r="G62" s="905"/>
      <c r="H62" s="905"/>
      <c r="I62" s="906"/>
      <c r="J62" s="906"/>
    </row>
    <row r="63" spans="1:10" ht="12" customHeight="1">
      <c r="B63" s="905"/>
      <c r="C63" s="905"/>
      <c r="D63" s="905"/>
      <c r="E63" s="905"/>
      <c r="F63" s="905"/>
      <c r="G63" s="905"/>
      <c r="H63" s="905"/>
      <c r="I63" s="906"/>
      <c r="J63" s="906"/>
    </row>
    <row r="64" spans="1:10" ht="36.75" customHeight="1">
      <c r="B64" s="905"/>
      <c r="C64" s="905"/>
      <c r="D64" s="905"/>
      <c r="E64" s="905"/>
      <c r="F64" s="905"/>
      <c r="G64" s="905"/>
      <c r="H64" s="905"/>
      <c r="I64" s="906"/>
      <c r="J64" s="906"/>
    </row>
    <row r="65" spans="1:10" ht="12" customHeight="1">
      <c r="B65" s="760"/>
      <c r="C65" s="760"/>
      <c r="D65" s="760"/>
      <c r="E65" s="760"/>
      <c r="F65" s="760"/>
      <c r="G65" s="760"/>
      <c r="H65" s="760"/>
      <c r="I65" s="761"/>
      <c r="J65" s="761"/>
    </row>
    <row r="66" spans="1:10" ht="12" customHeight="1">
      <c r="A66" s="181"/>
    </row>
    <row r="67" spans="1:10" ht="12" customHeight="1">
      <c r="A67" s="181"/>
    </row>
    <row r="68" spans="1:10" ht="12" customHeight="1">
      <c r="A68" s="181"/>
    </row>
    <row r="69" spans="1:10" ht="12" customHeight="1">
      <c r="A69" s="181"/>
    </row>
    <row r="70" spans="1:10" s="110" customFormat="1" ht="12" customHeight="1"/>
    <row r="71" spans="1:10" s="110" customFormat="1" ht="12" customHeight="1"/>
    <row r="72" spans="1:10" s="110" customFormat="1" ht="12" customHeight="1"/>
    <row r="73" spans="1:10" s="110" customFormat="1" ht="12" customHeight="1"/>
    <row r="74" spans="1:10" s="110" customFormat="1" ht="12" customHeight="1"/>
    <row r="75" spans="1:10" s="110" customFormat="1" ht="12" customHeight="1"/>
    <row r="76" spans="1:10" s="110" customFormat="1" ht="12" customHeight="1"/>
    <row r="77" spans="1:10" s="110" customFormat="1" ht="12" customHeight="1"/>
    <row r="78" spans="1:10" s="604" customFormat="1" ht="12" customHeight="1"/>
    <row r="79" spans="1:10" s="604" customFormat="1" ht="12" customHeight="1"/>
    <row r="80" spans="1:10" s="604" customFormat="1" ht="12" customHeight="1"/>
    <row r="81" spans="1:10" s="603" customFormat="1" ht="12" customHeight="1"/>
    <row r="82" spans="1:10" s="367" customFormat="1" ht="12" customHeight="1"/>
    <row r="83" spans="1:10" s="367" customFormat="1" ht="12" customHeight="1"/>
    <row r="84" spans="1:10" s="367" customFormat="1" ht="12" customHeight="1"/>
    <row r="85" spans="1:10" s="367" customFormat="1" ht="12" customHeight="1"/>
    <row r="86" spans="1:10" s="367" customFormat="1" ht="12" customHeight="1"/>
    <row r="87" spans="1:10" s="367" customFormat="1" ht="12" customHeight="1"/>
    <row r="88" spans="1:10" s="367" customFormat="1" ht="12" customHeight="1"/>
    <row r="89" spans="1:10" s="367" customFormat="1" ht="12" customHeight="1"/>
    <row r="90" spans="1:10" s="367" customFormat="1" ht="12" customHeight="1"/>
    <row r="91" spans="1:10" s="367" customFormat="1" ht="12" customHeight="1"/>
    <row r="92" spans="1:10" s="367" customFormat="1" ht="12" customHeight="1">
      <c r="A92" s="365"/>
      <c r="B92" s="501"/>
      <c r="C92" s="501"/>
      <c r="D92" s="391"/>
      <c r="E92" s="658"/>
      <c r="F92" s="391"/>
      <c r="G92" s="391"/>
      <c r="H92" s="391"/>
      <c r="J92" s="391"/>
    </row>
    <row r="93" spans="1:10" ht="12" customHeight="1"/>
  </sheetData>
  <mergeCells count="8">
    <mergeCell ref="B43:J52"/>
    <mergeCell ref="B58:J64"/>
    <mergeCell ref="B54:J56"/>
    <mergeCell ref="B10:J13"/>
    <mergeCell ref="H3:J3"/>
    <mergeCell ref="H17:J17"/>
    <mergeCell ref="B29:J35"/>
    <mergeCell ref="B37:J41"/>
  </mergeCells>
  <printOptions horizontalCentered="1"/>
  <pageMargins left="0.75" right="0.5" top="0.5" bottom="0.25" header="0.5" footer="0.5"/>
  <pageSetup paperSize="9" fitToWidth="12" fitToHeight="12" orientation="portrait" r:id="rId1"/>
  <headerFooter alignWithMargins="0">
    <oddFooter>&amp;C11 of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6"/>
  </sheetPr>
  <dimension ref="A1:J104"/>
  <sheetViews>
    <sheetView tabSelected="1" view="pageBreakPreview" topLeftCell="A63" zoomScaleSheetLayoutView="100" workbookViewId="0">
      <selection activeCell="C100" sqref="C100"/>
    </sheetView>
  </sheetViews>
  <sheetFormatPr defaultColWidth="10.25" defaultRowHeight="12"/>
  <cols>
    <col min="1" max="1" width="3.875" style="393" customWidth="1"/>
    <col min="2" max="2" width="3.625" style="181" customWidth="1"/>
    <col min="3" max="3" width="40.5" style="181" customWidth="1"/>
    <col min="4" max="4" width="2.375" style="181" customWidth="1"/>
    <col min="5" max="5" width="0.25" style="181" customWidth="1"/>
    <col min="6" max="6" width="6" style="181" customWidth="1"/>
    <col min="7" max="7" width="0.25" style="181" customWidth="1"/>
    <col min="8" max="8" width="13.25" style="181" customWidth="1"/>
    <col min="9" max="9" width="0.375" style="181" customWidth="1"/>
    <col min="10" max="10" width="13" style="181" customWidth="1"/>
    <col min="11" max="16384" width="10.25" style="181"/>
  </cols>
  <sheetData>
    <row r="1" spans="1:10">
      <c r="A1" s="389">
        <v>7</v>
      </c>
      <c r="B1" s="504" t="s">
        <v>350</v>
      </c>
      <c r="C1" s="505"/>
      <c r="D1" s="505"/>
      <c r="E1" s="505"/>
      <c r="F1" s="506"/>
      <c r="G1" s="505"/>
      <c r="H1" s="506"/>
    </row>
    <row r="2" spans="1:10" ht="1.5" customHeight="1">
      <c r="A2" s="389"/>
      <c r="B2" s="504"/>
      <c r="C2" s="505"/>
      <c r="D2" s="505"/>
      <c r="E2" s="505"/>
      <c r="F2" s="506"/>
      <c r="G2" s="505"/>
      <c r="H2" s="506"/>
    </row>
    <row r="3" spans="1:10">
      <c r="A3" s="519"/>
      <c r="B3" s="484" t="s">
        <v>679</v>
      </c>
      <c r="C3" s="505"/>
      <c r="D3" s="506"/>
      <c r="E3" s="505"/>
      <c r="F3" s="500"/>
      <c r="G3" s="500"/>
      <c r="H3" s="500"/>
    </row>
    <row r="4" spans="1:10" ht="0.75" customHeight="1">
      <c r="A4" s="519"/>
      <c r="B4" s="484"/>
      <c r="C4" s="505"/>
      <c r="D4" s="506"/>
      <c r="E4" s="505"/>
      <c r="F4" s="500"/>
      <c r="G4" s="500"/>
      <c r="H4" s="500"/>
    </row>
    <row r="5" spans="1:10">
      <c r="A5" s="392">
        <v>8</v>
      </c>
      <c r="B5" s="375" t="s">
        <v>93</v>
      </c>
      <c r="C5" s="470"/>
      <c r="D5" s="600"/>
      <c r="E5" s="600"/>
      <c r="F5" s="600"/>
      <c r="G5" s="600"/>
      <c r="H5" s="600"/>
      <c r="I5" s="470"/>
      <c r="J5" s="470"/>
    </row>
    <row r="6" spans="1:10" ht="3.75" customHeight="1">
      <c r="A6" s="392"/>
      <c r="B6" s="375"/>
      <c r="C6" s="470"/>
      <c r="D6" s="600"/>
      <c r="E6" s="600"/>
      <c r="F6" s="600"/>
      <c r="G6" s="600"/>
      <c r="H6" s="600"/>
      <c r="I6" s="470"/>
      <c r="J6" s="470"/>
    </row>
    <row r="7" spans="1:10">
      <c r="A7" s="392"/>
      <c r="B7" s="914" t="s">
        <v>508</v>
      </c>
      <c r="C7" s="914"/>
      <c r="D7" s="914"/>
      <c r="E7" s="914"/>
      <c r="F7" s="914"/>
      <c r="G7" s="914"/>
      <c r="H7" s="914"/>
      <c r="I7" s="914"/>
      <c r="J7" s="914"/>
    </row>
    <row r="8" spans="1:10">
      <c r="A8" s="392"/>
      <c r="B8" s="914"/>
      <c r="C8" s="914"/>
      <c r="D8" s="914"/>
      <c r="E8" s="914"/>
      <c r="F8" s="914"/>
      <c r="G8" s="914"/>
      <c r="H8" s="914"/>
      <c r="I8" s="914"/>
      <c r="J8" s="914"/>
    </row>
    <row r="9" spans="1:10">
      <c r="A9" s="392"/>
      <c r="B9" s="914"/>
      <c r="C9" s="914"/>
      <c r="D9" s="914"/>
      <c r="E9" s="914"/>
      <c r="F9" s="914"/>
      <c r="G9" s="914"/>
      <c r="H9" s="914"/>
      <c r="I9" s="914"/>
      <c r="J9" s="914"/>
    </row>
    <row r="10" spans="1:10">
      <c r="A10" s="392"/>
      <c r="B10" s="914"/>
      <c r="C10" s="914"/>
      <c r="D10" s="914"/>
      <c r="E10" s="914"/>
      <c r="F10" s="914"/>
      <c r="G10" s="914"/>
      <c r="H10" s="914"/>
      <c r="I10" s="914"/>
      <c r="J10" s="914"/>
    </row>
    <row r="11" spans="1:10">
      <c r="A11" s="392"/>
      <c r="B11" s="914"/>
      <c r="C11" s="914"/>
      <c r="D11" s="914"/>
      <c r="E11" s="914"/>
      <c r="F11" s="914"/>
      <c r="G11" s="914"/>
      <c r="H11" s="914"/>
      <c r="I11" s="914"/>
      <c r="J11" s="914"/>
    </row>
    <row r="12" spans="1:10">
      <c r="A12" s="601"/>
      <c r="B12" s="602"/>
      <c r="C12" s="603"/>
      <c r="D12" s="751"/>
      <c r="E12" s="751"/>
      <c r="F12" s="751"/>
      <c r="G12" s="751"/>
      <c r="H12" s="850" t="s">
        <v>649</v>
      </c>
      <c r="I12" s="850"/>
      <c r="J12" s="850"/>
    </row>
    <row r="13" spans="1:10">
      <c r="A13" s="601"/>
      <c r="B13" s="602"/>
      <c r="C13" s="603"/>
      <c r="D13" s="753"/>
      <c r="E13" s="753"/>
      <c r="F13" s="753"/>
      <c r="G13" s="687"/>
      <c r="H13" s="747" t="s">
        <v>624</v>
      </c>
      <c r="I13" s="749"/>
      <c r="J13" s="747" t="s">
        <v>591</v>
      </c>
    </row>
    <row r="14" spans="1:10">
      <c r="A14" s="601"/>
      <c r="B14" s="602"/>
      <c r="C14" s="603"/>
      <c r="D14" s="533"/>
      <c r="E14" s="534"/>
      <c r="F14" s="533"/>
      <c r="G14" s="687"/>
      <c r="H14" s="918" t="s">
        <v>655</v>
      </c>
      <c r="I14" s="918"/>
      <c r="J14" s="918"/>
    </row>
    <row r="15" spans="1:10">
      <c r="A15" s="392">
        <v>9</v>
      </c>
      <c r="B15" s="375" t="s">
        <v>678</v>
      </c>
      <c r="C15" s="605"/>
      <c r="D15" s="754"/>
      <c r="E15" s="751"/>
      <c r="F15" s="751"/>
      <c r="G15" s="751"/>
      <c r="H15" s="901" t="s">
        <v>651</v>
      </c>
      <c r="I15" s="902"/>
      <c r="J15" s="903"/>
    </row>
    <row r="16" spans="1:10">
      <c r="A16" s="365"/>
      <c r="B16" s="658"/>
      <c r="C16" s="658"/>
      <c r="D16" s="622"/>
      <c r="E16" s="622"/>
      <c r="F16" s="622"/>
      <c r="G16" s="757"/>
      <c r="H16" s="657"/>
      <c r="I16" s="657"/>
      <c r="J16" s="657"/>
    </row>
    <row r="17" spans="1:10">
      <c r="A17" s="365"/>
      <c r="B17" s="639" t="s">
        <v>511</v>
      </c>
      <c r="C17" s="376"/>
      <c r="D17" s="622"/>
      <c r="E17" s="622"/>
      <c r="F17" s="622"/>
      <c r="G17" s="390"/>
      <c r="H17" s="390">
        <v>91088</v>
      </c>
      <c r="I17" s="621"/>
      <c r="J17" s="390">
        <v>69092</v>
      </c>
    </row>
    <row r="18" spans="1:10" ht="3.75" customHeight="1">
      <c r="A18" s="365"/>
      <c r="B18" s="658"/>
      <c r="C18" s="658"/>
      <c r="D18" s="390"/>
      <c r="E18" s="621"/>
      <c r="F18" s="390"/>
      <c r="G18" s="390"/>
      <c r="H18" s="378"/>
      <c r="I18" s="367"/>
      <c r="J18" s="378"/>
    </row>
    <row r="19" spans="1:10">
      <c r="A19" s="365"/>
      <c r="B19" s="658"/>
      <c r="C19" s="658"/>
      <c r="D19" s="622"/>
      <c r="E19" s="755"/>
      <c r="F19" s="755"/>
      <c r="G19" s="755"/>
      <c r="H19" s="901" t="s">
        <v>248</v>
      </c>
      <c r="I19" s="902"/>
      <c r="J19" s="903"/>
    </row>
    <row r="20" spans="1:10" ht="4.5" customHeight="1">
      <c r="A20" s="365"/>
      <c r="B20" s="658"/>
      <c r="C20" s="658"/>
      <c r="D20" s="390"/>
      <c r="E20" s="621"/>
      <c r="F20" s="390"/>
      <c r="G20" s="390"/>
      <c r="H20" s="378"/>
      <c r="I20" s="367"/>
      <c r="J20" s="378"/>
    </row>
    <row r="21" spans="1:10" ht="12.75" thickBot="1">
      <c r="A21" s="365"/>
      <c r="B21" s="376" t="s">
        <v>457</v>
      </c>
      <c r="C21" s="376"/>
      <c r="D21" s="390"/>
      <c r="E21" s="621"/>
      <c r="F21" s="390"/>
      <c r="G21" s="390"/>
      <c r="H21" s="377">
        <v>39180869.447400056</v>
      </c>
      <c r="I21" s="367"/>
      <c r="J21" s="377">
        <v>41015000</v>
      </c>
    </row>
    <row r="22" spans="1:10" ht="3.75" customHeight="1" thickTop="1">
      <c r="A22" s="365"/>
      <c r="B22" s="379"/>
      <c r="C22" s="379"/>
      <c r="D22" s="378"/>
      <c r="E22" s="658"/>
      <c r="F22" s="378"/>
      <c r="G22" s="390"/>
      <c r="H22" s="378"/>
      <c r="I22" s="367"/>
      <c r="J22" s="378"/>
    </row>
    <row r="23" spans="1:10">
      <c r="A23" s="365"/>
      <c r="B23" s="379"/>
      <c r="C23" s="379"/>
      <c r="D23" s="756"/>
      <c r="E23" s="755"/>
      <c r="F23" s="755"/>
      <c r="G23" s="755"/>
      <c r="H23" s="915" t="s">
        <v>654</v>
      </c>
      <c r="I23" s="916"/>
      <c r="J23" s="917"/>
    </row>
    <row r="24" spans="1:10" ht="3.75" customHeight="1">
      <c r="A24" s="365"/>
      <c r="B24" s="612"/>
      <c r="C24" s="611"/>
      <c r="D24" s="391"/>
      <c r="E24" s="621"/>
      <c r="F24" s="391"/>
      <c r="G24" s="391"/>
      <c r="H24" s="391"/>
      <c r="I24" s="367"/>
      <c r="J24" s="391"/>
    </row>
    <row r="25" spans="1:10" ht="12.75" thickBot="1">
      <c r="A25" s="365"/>
      <c r="B25" s="375" t="s">
        <v>616</v>
      </c>
      <c r="C25" s="623"/>
      <c r="D25" s="391"/>
      <c r="E25" s="621"/>
      <c r="F25" s="391"/>
      <c r="G25" s="391"/>
      <c r="H25" s="380">
        <v>2.3248080322026738</v>
      </c>
      <c r="I25" s="367"/>
      <c r="J25" s="380">
        <v>1.68455443130562</v>
      </c>
    </row>
    <row r="26" spans="1:10" ht="3.75" customHeight="1" thickTop="1"/>
    <row r="27" spans="1:10" ht="12" customHeight="1">
      <c r="A27" s="389">
        <v>10</v>
      </c>
      <c r="B27" s="366" t="s">
        <v>55</v>
      </c>
      <c r="C27" s="369"/>
      <c r="D27" s="372"/>
      <c r="E27" s="372"/>
      <c r="F27" s="372"/>
      <c r="G27" s="372"/>
      <c r="H27" s="372"/>
      <c r="I27" s="369"/>
      <c r="J27" s="372"/>
    </row>
    <row r="28" spans="1:10" ht="3" customHeight="1">
      <c r="A28" s="374"/>
      <c r="B28" s="369"/>
      <c r="C28" s="369"/>
      <c r="D28" s="372"/>
      <c r="E28" s="372"/>
      <c r="F28" s="372"/>
      <c r="G28" s="372"/>
      <c r="H28" s="372"/>
      <c r="I28" s="369"/>
      <c r="J28" s="372"/>
    </row>
    <row r="29" spans="1:10" ht="12" customHeight="1">
      <c r="A29" s="398"/>
      <c r="B29" s="913" t="s">
        <v>659</v>
      </c>
      <c r="C29" s="906"/>
      <c r="D29" s="906"/>
      <c r="E29" s="906"/>
      <c r="F29" s="906"/>
      <c r="G29" s="906"/>
      <c r="H29" s="906"/>
      <c r="I29" s="906"/>
      <c r="J29" s="906"/>
    </row>
    <row r="30" spans="1:10" ht="9.75" customHeight="1">
      <c r="A30" s="374"/>
      <c r="B30" s="906"/>
      <c r="C30" s="906"/>
      <c r="D30" s="906"/>
      <c r="E30" s="906"/>
      <c r="F30" s="906"/>
      <c r="G30" s="906"/>
      <c r="H30" s="906"/>
      <c r="I30" s="906"/>
      <c r="J30" s="906"/>
    </row>
    <row r="31" spans="1:10" ht="12" customHeight="1">
      <c r="A31" s="601"/>
      <c r="B31" s="602"/>
      <c r="C31" s="603"/>
      <c r="D31" s="753"/>
      <c r="E31" s="753"/>
      <c r="F31" s="753"/>
      <c r="G31" s="687"/>
      <c r="H31" s="850" t="s">
        <v>649</v>
      </c>
      <c r="I31" s="850"/>
      <c r="J31" s="850"/>
    </row>
    <row r="32" spans="1:10" ht="12" customHeight="1">
      <c r="A32" s="601"/>
      <c r="B32" s="602"/>
      <c r="C32" s="603"/>
      <c r="D32" s="533"/>
      <c r="E32" s="534"/>
      <c r="F32" s="533"/>
      <c r="G32" s="687"/>
      <c r="H32" s="747" t="s">
        <v>624</v>
      </c>
      <c r="I32" s="749"/>
      <c r="J32" s="747" t="s">
        <v>591</v>
      </c>
    </row>
    <row r="33" spans="1:10" ht="12" customHeight="1">
      <c r="A33" s="398">
        <v>10.1</v>
      </c>
      <c r="B33" s="386" t="s">
        <v>608</v>
      </c>
      <c r="C33" s="438"/>
      <c r="D33" s="758"/>
      <c r="E33" s="758"/>
      <c r="F33" s="758"/>
      <c r="G33" s="758"/>
      <c r="H33" s="850" t="s">
        <v>650</v>
      </c>
      <c r="I33" s="850"/>
      <c r="J33" s="850"/>
    </row>
    <row r="34" spans="1:10" ht="12" customHeight="1">
      <c r="C34" s="438"/>
      <c r="D34" s="694"/>
      <c r="E34" s="694"/>
      <c r="F34" s="694"/>
      <c r="G34" s="694"/>
      <c r="H34" s="867" t="s">
        <v>651</v>
      </c>
      <c r="I34" s="867"/>
      <c r="J34" s="867"/>
    </row>
    <row r="35" spans="1:10" ht="12" customHeight="1">
      <c r="A35" s="374"/>
      <c r="B35" s="386" t="s">
        <v>57</v>
      </c>
      <c r="C35" s="606"/>
      <c r="D35" s="663"/>
      <c r="E35" s="663"/>
      <c r="F35" s="663"/>
      <c r="G35" s="663"/>
      <c r="H35" s="663"/>
      <c r="I35" s="663"/>
      <c r="J35" s="663"/>
    </row>
    <row r="36" spans="1:10" ht="12" customHeight="1">
      <c r="A36" s="374"/>
      <c r="B36" s="607" t="s">
        <v>501</v>
      </c>
      <c r="C36" s="606"/>
      <c r="G36" s="512"/>
      <c r="H36" s="512">
        <v>41225</v>
      </c>
      <c r="I36" s="512"/>
      <c r="J36" s="512">
        <v>47484</v>
      </c>
    </row>
    <row r="37" spans="1:10" ht="12" customHeight="1">
      <c r="A37" s="374"/>
      <c r="B37" s="607" t="s">
        <v>464</v>
      </c>
      <c r="C37" s="606"/>
      <c r="G37" s="512"/>
      <c r="H37" s="512">
        <v>6695</v>
      </c>
      <c r="I37" s="512"/>
      <c r="J37" s="512">
        <v>8262</v>
      </c>
    </row>
    <row r="38" spans="1:10" ht="3" customHeight="1">
      <c r="A38" s="374"/>
      <c r="B38" s="606"/>
      <c r="C38" s="606"/>
      <c r="G38" s="512"/>
      <c r="H38" s="512"/>
      <c r="I38" s="512"/>
      <c r="J38" s="512"/>
    </row>
    <row r="39" spans="1:10" ht="12" customHeight="1">
      <c r="A39" s="374"/>
      <c r="B39" s="386" t="s">
        <v>58</v>
      </c>
      <c r="C39" s="606"/>
      <c r="G39" s="512"/>
      <c r="H39" s="512"/>
      <c r="I39" s="512"/>
      <c r="J39" s="512"/>
    </row>
    <row r="40" spans="1:10" ht="12" customHeight="1">
      <c r="A40" s="374"/>
      <c r="B40" s="607" t="s">
        <v>502</v>
      </c>
      <c r="C40" s="606"/>
      <c r="G40" s="512"/>
      <c r="H40" s="512">
        <v>697</v>
      </c>
      <c r="I40" s="512"/>
      <c r="J40" s="512">
        <v>668</v>
      </c>
    </row>
    <row r="41" spans="1:10" ht="12" customHeight="1">
      <c r="A41" s="374"/>
      <c r="B41" s="607" t="s">
        <v>123</v>
      </c>
      <c r="C41" s="606"/>
      <c r="G41" s="512"/>
      <c r="H41" s="512">
        <v>22</v>
      </c>
      <c r="I41" s="512"/>
      <c r="J41" s="512">
        <v>20</v>
      </c>
    </row>
    <row r="42" spans="1:10" ht="4.5" customHeight="1">
      <c r="A42" s="374"/>
      <c r="B42" s="607"/>
      <c r="C42" s="606"/>
      <c r="G42" s="512"/>
      <c r="H42" s="512"/>
      <c r="I42" s="512"/>
      <c r="J42" s="512"/>
    </row>
    <row r="43" spans="1:10" s="437" customFormat="1" ht="12" hidden="1" customHeight="1">
      <c r="A43" s="398"/>
      <c r="B43" s="386" t="s">
        <v>125</v>
      </c>
      <c r="C43" s="606"/>
      <c r="G43" s="512"/>
      <c r="H43" s="512"/>
      <c r="I43" s="512"/>
      <c r="J43" s="512"/>
    </row>
    <row r="44" spans="1:10" s="437" customFormat="1" ht="12" hidden="1" customHeight="1">
      <c r="A44" s="398"/>
      <c r="B44" s="607" t="s">
        <v>609</v>
      </c>
      <c r="C44" s="606"/>
      <c r="G44" s="512"/>
      <c r="H44" s="512">
        <v>235781</v>
      </c>
      <c r="I44" s="512"/>
      <c r="J44" s="512">
        <v>88387</v>
      </c>
    </row>
    <row r="45" spans="1:10" s="437" customFormat="1" ht="12" hidden="1" customHeight="1">
      <c r="A45" s="398"/>
      <c r="B45" s="607" t="s">
        <v>615</v>
      </c>
      <c r="C45" s="606"/>
      <c r="G45" s="512"/>
      <c r="H45" s="512">
        <v>695907</v>
      </c>
      <c r="I45" s="512"/>
      <c r="J45" s="512">
        <v>303924</v>
      </c>
    </row>
    <row r="46" spans="1:10" s="437" customFormat="1" ht="12" hidden="1" customHeight="1">
      <c r="A46" s="398"/>
      <c r="B46" s="386"/>
      <c r="C46" s="438"/>
      <c r="G46" s="620"/>
      <c r="H46" s="620"/>
      <c r="I46" s="620"/>
      <c r="J46" s="620"/>
    </row>
    <row r="47" spans="1:10" s="618" customFormat="1" ht="12" hidden="1" customHeight="1">
      <c r="A47" s="624"/>
      <c r="B47" s="625" t="s">
        <v>124</v>
      </c>
      <c r="C47" s="626"/>
      <c r="G47" s="515"/>
      <c r="H47" s="515"/>
      <c r="I47" s="515"/>
      <c r="J47" s="515"/>
    </row>
    <row r="48" spans="1:10" ht="12" hidden="1" customHeight="1">
      <c r="A48" s="374"/>
      <c r="B48" s="607" t="s">
        <v>610</v>
      </c>
      <c r="C48" s="606"/>
      <c r="G48" s="512"/>
      <c r="H48" s="512">
        <v>238930</v>
      </c>
      <c r="I48" s="512"/>
      <c r="J48" s="525">
        <v>89568</v>
      </c>
    </row>
    <row r="49" spans="1:10" ht="12" hidden="1" customHeight="1">
      <c r="A49" s="374"/>
      <c r="B49" s="607" t="s">
        <v>614</v>
      </c>
      <c r="C49" s="606"/>
      <c r="G49" s="512"/>
      <c r="H49" s="512">
        <v>705201</v>
      </c>
      <c r="I49" s="512"/>
      <c r="J49" s="525">
        <v>307983</v>
      </c>
    </row>
    <row r="50" spans="1:10" ht="12" hidden="1" customHeight="1">
      <c r="A50" s="374"/>
      <c r="B50" s="607"/>
      <c r="C50" s="606"/>
      <c r="G50" s="512"/>
      <c r="H50" s="512"/>
      <c r="I50" s="512"/>
      <c r="J50" s="512"/>
    </row>
    <row r="51" spans="1:10" ht="12" hidden="1" customHeight="1">
      <c r="A51" s="374"/>
      <c r="B51" s="386" t="s">
        <v>255</v>
      </c>
      <c r="C51" s="606"/>
      <c r="G51" s="512"/>
      <c r="H51" s="512"/>
      <c r="I51" s="512"/>
      <c r="J51" s="512"/>
    </row>
    <row r="52" spans="1:10" ht="12" hidden="1" customHeight="1">
      <c r="A52" s="374"/>
      <c r="B52" s="607" t="s">
        <v>611</v>
      </c>
      <c r="C52" s="606"/>
      <c r="G52" s="512"/>
      <c r="H52" s="512">
        <v>291897</v>
      </c>
      <c r="I52" s="512"/>
      <c r="J52" s="525">
        <v>103952</v>
      </c>
    </row>
    <row r="53" spans="1:10" ht="12" hidden="1" customHeight="1">
      <c r="A53" s="469"/>
      <c r="B53" s="607" t="s">
        <v>613</v>
      </c>
      <c r="C53" s="606"/>
      <c r="G53" s="470"/>
      <c r="H53" s="512">
        <v>496579</v>
      </c>
      <c r="I53" s="470"/>
      <c r="J53" s="512">
        <v>256513</v>
      </c>
    </row>
    <row r="54" spans="1:10" ht="12" customHeight="1">
      <c r="B54" s="606"/>
      <c r="C54" s="606"/>
      <c r="D54" s="606"/>
      <c r="E54" s="606"/>
      <c r="F54" s="606"/>
      <c r="G54" s="565"/>
      <c r="H54" s="747" t="s">
        <v>645</v>
      </c>
      <c r="I54" s="749"/>
      <c r="J54" s="747" t="s">
        <v>646</v>
      </c>
    </row>
    <row r="55" spans="1:10" ht="12" customHeight="1">
      <c r="A55" s="181"/>
      <c r="D55" s="606"/>
      <c r="E55" s="606"/>
      <c r="F55" s="606"/>
      <c r="G55" s="615"/>
      <c r="H55" s="748" t="s">
        <v>271</v>
      </c>
      <c r="I55" s="749"/>
      <c r="J55" s="748" t="s">
        <v>181</v>
      </c>
    </row>
    <row r="56" spans="1:10" ht="12" customHeight="1">
      <c r="A56" s="398">
        <v>10.199999999999999</v>
      </c>
      <c r="B56" s="386" t="s">
        <v>459</v>
      </c>
      <c r="C56" s="606"/>
      <c r="D56" s="606"/>
      <c r="E56" s="606"/>
      <c r="F56" s="606"/>
      <c r="G56" s="565"/>
      <c r="H56" s="867" t="s">
        <v>179</v>
      </c>
      <c r="I56" s="867"/>
      <c r="J56" s="867"/>
    </row>
    <row r="57" spans="1:10" ht="12" customHeight="1">
      <c r="B57" s="386" t="s">
        <v>57</v>
      </c>
      <c r="C57" s="606"/>
      <c r="D57" s="606"/>
      <c r="E57" s="606"/>
      <c r="F57" s="606"/>
      <c r="G57" s="565"/>
    </row>
    <row r="58" spans="1:10" ht="12" customHeight="1">
      <c r="B58" s="607" t="s">
        <v>660</v>
      </c>
      <c r="C58" s="606"/>
      <c r="D58" s="606"/>
      <c r="E58" s="606"/>
      <c r="F58" s="606"/>
      <c r="G58" s="565"/>
      <c r="H58" s="512">
        <v>12683</v>
      </c>
      <c r="I58" s="565"/>
      <c r="J58" s="608">
        <v>13883</v>
      </c>
    </row>
    <row r="59" spans="1:10" ht="12" customHeight="1">
      <c r="B59" s="607" t="s">
        <v>661</v>
      </c>
      <c r="C59" s="606"/>
      <c r="D59" s="606"/>
      <c r="E59" s="606"/>
      <c r="F59" s="606"/>
      <c r="G59" s="750"/>
      <c r="H59" s="512">
        <v>2060</v>
      </c>
      <c r="I59" s="750"/>
      <c r="J59" s="608">
        <v>2416</v>
      </c>
    </row>
    <row r="60" spans="1:10" ht="3" customHeight="1">
      <c r="B60" s="606"/>
      <c r="C60" s="606"/>
      <c r="D60" s="606"/>
      <c r="E60" s="606"/>
      <c r="F60" s="606"/>
      <c r="G60" s="565"/>
      <c r="H60" s="565"/>
      <c r="I60" s="565"/>
      <c r="J60" s="608"/>
    </row>
    <row r="61" spans="1:10" ht="12" customHeight="1">
      <c r="B61" s="386" t="s">
        <v>58</v>
      </c>
      <c r="C61" s="606"/>
      <c r="D61" s="606"/>
      <c r="E61" s="606"/>
      <c r="F61" s="606"/>
      <c r="G61" s="565"/>
      <c r="H61" s="565"/>
      <c r="I61" s="565"/>
      <c r="J61" s="608"/>
    </row>
    <row r="62" spans="1:10" ht="12" customHeight="1">
      <c r="B62" s="607" t="s">
        <v>266</v>
      </c>
      <c r="C62" s="606"/>
      <c r="D62" s="606"/>
      <c r="E62" s="606"/>
      <c r="F62" s="606"/>
      <c r="G62" s="565"/>
      <c r="H62" s="608">
        <v>215</v>
      </c>
      <c r="I62" s="565"/>
      <c r="J62" s="181">
        <v>230</v>
      </c>
    </row>
    <row r="63" spans="1:10" ht="3" customHeight="1">
      <c r="B63" s="371"/>
      <c r="C63" s="606"/>
      <c r="D63" s="606"/>
      <c r="E63" s="606"/>
      <c r="F63" s="606"/>
      <c r="G63" s="565"/>
      <c r="H63" s="565"/>
      <c r="I63" s="565"/>
      <c r="J63" s="608"/>
    </row>
    <row r="64" spans="1:10" ht="12" customHeight="1">
      <c r="B64" s="386" t="s">
        <v>125</v>
      </c>
      <c r="C64" s="606"/>
      <c r="D64" s="606"/>
      <c r="E64" s="606"/>
      <c r="F64" s="606"/>
      <c r="G64" s="565"/>
      <c r="H64" s="565"/>
      <c r="I64" s="565"/>
      <c r="J64" s="608"/>
    </row>
    <row r="65" spans="1:10" ht="12" customHeight="1">
      <c r="B65" s="697" t="s">
        <v>663</v>
      </c>
      <c r="C65" s="606"/>
      <c r="D65" s="606"/>
      <c r="E65" s="606"/>
      <c r="F65" s="606"/>
      <c r="G65" s="695"/>
      <c r="H65" s="608">
        <v>1927026.9221900001</v>
      </c>
      <c r="I65" s="565"/>
      <c r="J65" s="608">
        <v>2108931</v>
      </c>
    </row>
    <row r="66" spans="1:10" ht="12" customHeight="1">
      <c r="B66" s="697" t="s">
        <v>771</v>
      </c>
      <c r="C66" s="606"/>
      <c r="D66" s="606"/>
      <c r="E66" s="606"/>
      <c r="F66" s="606"/>
      <c r="G66" s="769"/>
      <c r="H66" s="608">
        <v>221261.14065000002</v>
      </c>
      <c r="I66" s="769"/>
      <c r="J66" s="608">
        <v>243383</v>
      </c>
    </row>
    <row r="67" spans="1:10" ht="3" customHeight="1">
      <c r="B67" s="606"/>
      <c r="C67" s="606"/>
      <c r="D67" s="606"/>
      <c r="E67" s="606"/>
      <c r="F67" s="606"/>
      <c r="G67" s="565"/>
      <c r="H67" s="565"/>
      <c r="I67" s="565"/>
      <c r="J67" s="608"/>
    </row>
    <row r="68" spans="1:10" ht="12" customHeight="1">
      <c r="B68" s="386" t="s">
        <v>124</v>
      </c>
      <c r="C68" s="606"/>
      <c r="D68" s="606"/>
      <c r="E68" s="606"/>
      <c r="F68" s="606"/>
      <c r="G68" s="565"/>
      <c r="H68" s="565"/>
      <c r="I68" s="565"/>
      <c r="J68" s="608"/>
    </row>
    <row r="69" spans="1:10" ht="12" customHeight="1">
      <c r="B69" s="697" t="s">
        <v>662</v>
      </c>
      <c r="C69" s="695"/>
      <c r="D69" s="695"/>
      <c r="E69" s="695"/>
      <c r="F69" s="695"/>
      <c r="G69" s="695"/>
      <c r="H69" s="608">
        <v>1952765.3287800001</v>
      </c>
      <c r="I69" s="565"/>
      <c r="J69" s="608">
        <v>2137099</v>
      </c>
    </row>
    <row r="70" spans="1:10" ht="3" customHeight="1">
      <c r="B70" s="607"/>
      <c r="C70" s="507"/>
      <c r="D70" s="507"/>
      <c r="E70" s="507"/>
      <c r="F70" s="507"/>
      <c r="G70" s="507"/>
      <c r="H70" s="507"/>
      <c r="I70" s="507"/>
      <c r="J70" s="598"/>
    </row>
    <row r="71" spans="1:10" ht="12" customHeight="1">
      <c r="B71" s="386" t="s">
        <v>255</v>
      </c>
      <c r="J71" s="609"/>
    </row>
    <row r="72" spans="1:10" ht="12" customHeight="1">
      <c r="B72" s="697" t="s">
        <v>664</v>
      </c>
      <c r="C72" s="507"/>
      <c r="D72" s="507"/>
      <c r="E72" s="507"/>
      <c r="F72" s="507"/>
      <c r="G72" s="507"/>
      <c r="H72" s="608">
        <v>2806666.0728100003</v>
      </c>
      <c r="J72" s="609">
        <v>3071604</v>
      </c>
    </row>
    <row r="73" spans="1:10" ht="3" customHeight="1">
      <c r="B73" s="697"/>
      <c r="C73" s="507"/>
      <c r="D73" s="507"/>
      <c r="E73" s="507"/>
      <c r="F73" s="507"/>
      <c r="G73" s="507"/>
      <c r="H73" s="608"/>
      <c r="J73" s="609"/>
    </row>
    <row r="74" spans="1:10" ht="12" customHeight="1">
      <c r="B74" s="386" t="s">
        <v>665</v>
      </c>
      <c r="C74" s="507"/>
      <c r="D74" s="507"/>
      <c r="E74" s="507"/>
      <c r="F74" s="507"/>
      <c r="G74" s="507"/>
      <c r="H74" s="608"/>
      <c r="J74" s="609"/>
    </row>
    <row r="75" spans="1:10" ht="12" customHeight="1">
      <c r="B75" s="697" t="s">
        <v>666</v>
      </c>
      <c r="C75" s="507"/>
      <c r="D75" s="507"/>
      <c r="E75" s="507"/>
      <c r="F75" s="507"/>
      <c r="G75" s="507"/>
      <c r="H75" s="608">
        <v>829607.77648999996</v>
      </c>
      <c r="J75" s="609">
        <v>907920</v>
      </c>
    </row>
    <row r="76" spans="1:10" ht="6" customHeight="1">
      <c r="B76" s="607"/>
      <c r="H76" s="608"/>
      <c r="J76" s="609"/>
    </row>
    <row r="77" spans="1:10" ht="12" hidden="1" customHeight="1">
      <c r="A77" s="396"/>
      <c r="B77" s="629" t="s">
        <v>467</v>
      </c>
      <c r="C77" s="366"/>
      <c r="D77" s="366"/>
      <c r="E77" s="366"/>
      <c r="F77" s="366"/>
      <c r="G77" s="369"/>
      <c r="H77" s="369"/>
      <c r="I77" s="369"/>
      <c r="J77" s="369"/>
    </row>
    <row r="78" spans="1:10" ht="5.25" hidden="1" customHeight="1">
      <c r="B78" s="366"/>
      <c r="C78" s="366"/>
      <c r="D78" s="366"/>
      <c r="E78" s="366"/>
      <c r="F78" s="366"/>
      <c r="G78" s="369"/>
      <c r="H78" s="369"/>
      <c r="I78" s="369"/>
      <c r="J78" s="369"/>
    </row>
    <row r="79" spans="1:10" ht="12" hidden="1" customHeight="1">
      <c r="B79" s="912" t="s">
        <v>466</v>
      </c>
      <c r="C79" s="912"/>
      <c r="D79" s="912"/>
      <c r="E79" s="912"/>
      <c r="F79" s="912"/>
      <c r="G79" s="912"/>
      <c r="H79" s="912"/>
      <c r="I79" s="912"/>
      <c r="J79" s="912"/>
    </row>
    <row r="80" spans="1:10" ht="12" hidden="1" customHeight="1">
      <c r="B80" s="912"/>
      <c r="C80" s="912"/>
      <c r="D80" s="912"/>
      <c r="E80" s="912"/>
      <c r="F80" s="912"/>
      <c r="G80" s="912"/>
      <c r="H80" s="912"/>
      <c r="I80" s="912"/>
      <c r="J80" s="912"/>
    </row>
    <row r="81" spans="1:10" ht="4.5" hidden="1" customHeight="1"/>
    <row r="82" spans="1:10" ht="12" customHeight="1">
      <c r="A82" s="396">
        <v>11</v>
      </c>
      <c r="B82" s="375" t="s">
        <v>62</v>
      </c>
      <c r="C82" s="375"/>
      <c r="D82" s="375"/>
      <c r="E82" s="375"/>
      <c r="F82" s="375"/>
      <c r="G82" s="368"/>
      <c r="H82" s="368"/>
      <c r="I82" s="368"/>
      <c r="J82" s="368"/>
    </row>
    <row r="83" spans="1:10" ht="3" customHeight="1">
      <c r="A83" s="395"/>
      <c r="B83" s="369"/>
      <c r="C83" s="369"/>
      <c r="D83" s="369"/>
      <c r="E83" s="369"/>
      <c r="F83" s="369"/>
      <c r="G83" s="368"/>
      <c r="H83" s="369"/>
      <c r="I83" s="369"/>
      <c r="J83" s="369"/>
    </row>
    <row r="84" spans="1:10" ht="12" customHeight="1">
      <c r="A84" s="394"/>
      <c r="B84" s="911" t="s">
        <v>677</v>
      </c>
      <c r="C84" s="911"/>
      <c r="D84" s="911"/>
      <c r="E84" s="911"/>
      <c r="F84" s="911"/>
      <c r="G84" s="911"/>
      <c r="H84" s="911"/>
      <c r="I84" s="911"/>
      <c r="J84" s="911"/>
    </row>
    <row r="85" spans="1:10" ht="11.25" customHeight="1">
      <c r="A85" s="394"/>
      <c r="B85" s="911"/>
      <c r="C85" s="911"/>
      <c r="D85" s="911"/>
      <c r="E85" s="911"/>
      <c r="F85" s="911"/>
      <c r="G85" s="911"/>
      <c r="H85" s="911"/>
      <c r="I85" s="911"/>
      <c r="J85" s="911"/>
    </row>
    <row r="86" spans="1:10" ht="4.5" customHeight="1">
      <c r="A86" s="397"/>
      <c r="B86" s="366"/>
      <c r="C86" s="366"/>
      <c r="D86" s="366"/>
      <c r="E86" s="366"/>
      <c r="F86" s="366"/>
      <c r="G86" s="369"/>
      <c r="H86" s="369"/>
      <c r="I86" s="369"/>
      <c r="J86" s="369"/>
    </row>
    <row r="87" spans="1:10" ht="12" customHeight="1">
      <c r="A87" s="396">
        <v>12</v>
      </c>
      <c r="B87" s="366" t="s">
        <v>63</v>
      </c>
      <c r="C87" s="366"/>
      <c r="D87" s="366"/>
      <c r="E87" s="366"/>
      <c r="F87" s="366"/>
      <c r="G87" s="369"/>
      <c r="H87" s="369"/>
      <c r="I87" s="369"/>
      <c r="J87" s="369"/>
    </row>
    <row r="88" spans="1:10" ht="4.5" customHeight="1">
      <c r="A88" s="385"/>
      <c r="B88" s="369"/>
      <c r="C88" s="369"/>
      <c r="D88" s="369"/>
      <c r="E88" s="369"/>
      <c r="F88" s="369"/>
      <c r="G88" s="369"/>
      <c r="H88" s="369"/>
      <c r="I88" s="369"/>
      <c r="J88" s="369"/>
    </row>
    <row r="89" spans="1:10" ht="12" customHeight="1">
      <c r="A89" s="365"/>
      <c r="B89" s="369" t="s">
        <v>284</v>
      </c>
      <c r="C89" s="369"/>
      <c r="D89" s="369"/>
      <c r="E89" s="369"/>
      <c r="F89" s="369"/>
      <c r="G89" s="369"/>
      <c r="H89" s="369"/>
      <c r="I89" s="369"/>
      <c r="J89" s="369"/>
    </row>
    <row r="90" spans="1:10" ht="8.25" customHeight="1">
      <c r="A90" s="365"/>
      <c r="B90" s="369"/>
      <c r="C90" s="369"/>
      <c r="D90" s="369"/>
      <c r="E90" s="369"/>
      <c r="F90" s="369"/>
      <c r="G90" s="369"/>
      <c r="H90" s="369"/>
      <c r="I90" s="369"/>
      <c r="J90" s="369"/>
    </row>
    <row r="91" spans="1:10" ht="12" customHeight="1">
      <c r="A91" s="182" t="s">
        <v>802</v>
      </c>
      <c r="B91" s="371"/>
      <c r="C91" s="370"/>
      <c r="D91" s="370"/>
      <c r="E91" s="370"/>
      <c r="F91" s="370"/>
      <c r="G91" s="370"/>
      <c r="H91" s="370"/>
      <c r="I91" s="370"/>
      <c r="J91" s="370"/>
    </row>
    <row r="92" spans="1:10" ht="12" customHeight="1">
      <c r="A92" s="182" t="s">
        <v>803</v>
      </c>
      <c r="B92" s="371"/>
      <c r="C92" s="370"/>
      <c r="D92" s="370"/>
      <c r="E92" s="370"/>
      <c r="F92" s="370"/>
      <c r="G92" s="370"/>
      <c r="H92" s="370"/>
      <c r="I92" s="370"/>
      <c r="J92" s="370"/>
    </row>
    <row r="93" spans="1:10" ht="12" customHeight="1">
      <c r="A93" s="383"/>
      <c r="B93" s="383"/>
      <c r="C93" s="383"/>
      <c r="D93" s="370"/>
      <c r="E93" s="370"/>
      <c r="F93" s="370"/>
      <c r="G93" s="370"/>
      <c r="H93" s="370"/>
      <c r="I93" s="370"/>
      <c r="J93" s="370"/>
    </row>
    <row r="94" spans="1:10" ht="12" customHeight="1">
      <c r="A94" s="383"/>
      <c r="B94" s="383"/>
      <c r="C94" s="383"/>
      <c r="D94" s="370"/>
      <c r="E94" s="370"/>
      <c r="F94" s="370"/>
      <c r="G94" s="370"/>
      <c r="H94" s="370"/>
      <c r="I94" s="370"/>
      <c r="J94" s="370"/>
    </row>
    <row r="95" spans="1:10" ht="12" customHeight="1">
      <c r="A95" s="182" t="s">
        <v>814</v>
      </c>
      <c r="B95" s="383"/>
      <c r="C95" s="383"/>
      <c r="D95" s="370"/>
      <c r="E95" s="370"/>
      <c r="F95" s="370"/>
      <c r="G95" s="370"/>
      <c r="H95" s="370"/>
      <c r="I95" s="370"/>
      <c r="J95" s="370"/>
    </row>
    <row r="96" spans="1:10" ht="12" customHeight="1">
      <c r="A96" s="559" t="s">
        <v>804</v>
      </c>
      <c r="B96" s="373"/>
      <c r="C96" s="373"/>
      <c r="D96" s="373"/>
      <c r="E96" s="373"/>
      <c r="F96" s="373"/>
      <c r="G96" s="384"/>
      <c r="H96" s="373"/>
      <c r="I96" s="373"/>
      <c r="J96" s="373"/>
    </row>
    <row r="97" spans="1:10" ht="12" customHeight="1">
      <c r="A97" s="374"/>
      <c r="B97" s="386"/>
      <c r="C97" s="369"/>
      <c r="D97" s="372"/>
      <c r="E97" s="372"/>
      <c r="F97" s="372"/>
      <c r="G97" s="369"/>
      <c r="H97" s="372"/>
      <c r="I97" s="369"/>
      <c r="J97" s="369"/>
    </row>
    <row r="98" spans="1:10" ht="12" customHeight="1"/>
    <row r="99" spans="1:10" ht="12" customHeight="1"/>
    <row r="100" spans="1:10" ht="12" customHeight="1"/>
    <row r="101" spans="1:10" ht="12" customHeight="1"/>
    <row r="102" spans="1:10" ht="12" customHeight="1"/>
    <row r="103" spans="1:10" ht="12" customHeight="1"/>
    <row r="104" spans="1:10" ht="12" customHeight="1"/>
  </sheetData>
  <mergeCells count="13">
    <mergeCell ref="B7:J11"/>
    <mergeCell ref="H12:J12"/>
    <mergeCell ref="H15:J15"/>
    <mergeCell ref="H19:J19"/>
    <mergeCell ref="H23:J23"/>
    <mergeCell ref="H14:J14"/>
    <mergeCell ref="B84:J85"/>
    <mergeCell ref="B79:J80"/>
    <mergeCell ref="B29:J30"/>
    <mergeCell ref="H34:J34"/>
    <mergeCell ref="H31:J31"/>
    <mergeCell ref="H33:J33"/>
    <mergeCell ref="H56:J56"/>
  </mergeCells>
  <phoneticPr fontId="69" type="noConversion"/>
  <printOptions horizontalCentered="1"/>
  <pageMargins left="0.75" right="0.5" top="0.5" bottom="0.25" header="0.5" footer="0.5"/>
  <pageSetup paperSize="9" fitToWidth="12" fitToHeight="12" orientation="portrait" r:id="rId1"/>
  <headerFooter alignWithMargins="0">
    <oddFooter>&amp;C12 of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0"/>
    <pageSetUpPr fitToPage="1"/>
  </sheetPr>
  <dimension ref="A1:U154"/>
  <sheetViews>
    <sheetView workbookViewId="0"/>
  </sheetViews>
  <sheetFormatPr defaultRowHeight="12"/>
  <cols>
    <col min="1" max="1" width="4.625" style="190" customWidth="1"/>
    <col min="2" max="2" width="3.625" style="190" customWidth="1"/>
    <col min="3" max="3" width="13" style="190" customWidth="1"/>
    <col min="4" max="4" width="5.625" style="190" customWidth="1"/>
    <col min="5" max="5" width="4.875" style="190" customWidth="1"/>
    <col min="6" max="6" width="5.25" style="202" customWidth="1"/>
    <col min="7" max="7" width="5.625" style="202" customWidth="1"/>
    <col min="8" max="8" width="5.75" style="202" customWidth="1"/>
    <col min="9" max="9" width="5.5" style="202" customWidth="1"/>
    <col min="10" max="10" width="5.25" style="202" customWidth="1"/>
    <col min="11" max="11" width="6.25" style="202" customWidth="1"/>
    <col min="12" max="12" width="5.625" style="203" customWidth="1"/>
    <col min="13" max="13" width="0.875" style="203" customWidth="1"/>
    <col min="14" max="14" width="6" style="203" customWidth="1"/>
    <col min="15" max="15" width="6.125" style="201" customWidth="1"/>
    <col min="16" max="16384" width="9" style="190"/>
  </cols>
  <sheetData>
    <row r="1" spans="1:16">
      <c r="B1" s="185"/>
      <c r="C1" s="185"/>
      <c r="D1" s="186"/>
      <c r="E1" s="186"/>
      <c r="F1" s="187"/>
      <c r="G1" s="187"/>
      <c r="H1" s="187"/>
      <c r="I1" s="187"/>
      <c r="J1" s="187"/>
      <c r="K1" s="187"/>
      <c r="L1" s="188"/>
      <c r="M1" s="188"/>
      <c r="N1" s="188"/>
      <c r="O1" s="189"/>
    </row>
    <row r="2" spans="1:16" s="110" customFormat="1" hidden="1">
      <c r="A2" s="107" t="e">
        <f>+'1'!#REF!+0.1</f>
        <v>#REF!</v>
      </c>
      <c r="B2" s="122" t="s">
        <v>251</v>
      </c>
      <c r="C2" s="122"/>
      <c r="D2" s="123"/>
      <c r="E2" s="123"/>
      <c r="F2" s="39"/>
      <c r="G2" s="124"/>
      <c r="H2" s="18"/>
      <c r="I2" s="123"/>
      <c r="J2" s="113"/>
      <c r="K2" s="113"/>
    </row>
    <row r="3" spans="1:16" s="110" customFormat="1" ht="8.1" hidden="1" customHeight="1">
      <c r="A3" s="107"/>
      <c r="B3" s="123"/>
      <c r="C3" s="123"/>
      <c r="D3" s="123"/>
      <c r="E3" s="123"/>
      <c r="F3" s="39"/>
      <c r="G3" s="124"/>
      <c r="H3" s="18"/>
      <c r="I3" s="123"/>
      <c r="J3" s="113"/>
      <c r="K3" s="113"/>
    </row>
    <row r="4" spans="1:16" s="110" customFormat="1" hidden="1">
      <c r="A4" s="107"/>
      <c r="B4" s="870" t="s">
        <v>69</v>
      </c>
      <c r="C4" s="870"/>
      <c r="D4" s="870"/>
      <c r="E4" s="870"/>
      <c r="F4" s="870"/>
      <c r="G4" s="870"/>
      <c r="H4" s="870"/>
      <c r="I4" s="870"/>
      <c r="J4" s="870"/>
      <c r="K4" s="870"/>
      <c r="L4" s="870"/>
      <c r="M4" s="870"/>
      <c r="N4" s="870"/>
      <c r="O4" s="870"/>
      <c r="P4" s="125"/>
    </row>
    <row r="5" spans="1:16" s="110" customFormat="1" hidden="1">
      <c r="A5" s="107"/>
      <c r="B5" s="870"/>
      <c r="C5" s="870"/>
      <c r="D5" s="870"/>
      <c r="E5" s="870"/>
      <c r="F5" s="870"/>
      <c r="G5" s="870"/>
      <c r="H5" s="870"/>
      <c r="I5" s="870"/>
      <c r="J5" s="870"/>
      <c r="K5" s="870"/>
      <c r="L5" s="870"/>
      <c r="M5" s="870"/>
      <c r="N5" s="870"/>
      <c r="O5" s="870"/>
    </row>
    <row r="6" spans="1:16" s="110" customFormat="1" ht="8.1" hidden="1" customHeight="1">
      <c r="A6" s="107"/>
      <c r="B6" s="113"/>
      <c r="C6" s="113"/>
      <c r="D6" s="113"/>
      <c r="E6" s="113"/>
      <c r="F6" s="113"/>
      <c r="G6" s="113"/>
      <c r="H6" s="113"/>
      <c r="I6" s="113"/>
      <c r="J6" s="113"/>
      <c r="K6" s="113"/>
    </row>
    <row r="7" spans="1:16" s="110" customFormat="1" hidden="1">
      <c r="A7" s="338">
        <v>3.1</v>
      </c>
      <c r="B7" s="108" t="s">
        <v>52</v>
      </c>
      <c r="C7" s="108"/>
      <c r="D7" s="108"/>
      <c r="F7" s="112"/>
      <c r="G7" s="112"/>
      <c r="H7" s="112"/>
      <c r="I7" s="112"/>
      <c r="J7" s="112"/>
      <c r="O7" s="113"/>
    </row>
    <row r="8" spans="1:16" s="110" customFormat="1" ht="8.1" hidden="1" customHeight="1">
      <c r="A8" s="107"/>
      <c r="F8" s="112"/>
      <c r="G8" s="112"/>
      <c r="H8" s="112"/>
      <c r="I8" s="112"/>
      <c r="J8" s="112"/>
      <c r="O8" s="113"/>
    </row>
    <row r="9" spans="1:16" s="110" customFormat="1" hidden="1">
      <c r="B9" s="118" t="s">
        <v>70</v>
      </c>
      <c r="C9" s="870" t="s">
        <v>85</v>
      </c>
      <c r="D9" s="870"/>
      <c r="E9" s="870"/>
      <c r="F9" s="870"/>
      <c r="G9" s="870"/>
      <c r="H9" s="870"/>
      <c r="I9" s="870"/>
      <c r="J9" s="870"/>
      <c r="K9" s="870"/>
      <c r="L9" s="870"/>
      <c r="M9" s="870"/>
      <c r="N9" s="870"/>
      <c r="O9" s="870"/>
    </row>
    <row r="10" spans="1:16" s="110" customFormat="1" hidden="1">
      <c r="B10" s="126"/>
      <c r="C10" s="870"/>
      <c r="D10" s="870"/>
      <c r="E10" s="870"/>
      <c r="F10" s="870"/>
      <c r="G10" s="870"/>
      <c r="H10" s="870"/>
      <c r="I10" s="870"/>
      <c r="J10" s="870"/>
      <c r="K10" s="870"/>
      <c r="L10" s="870"/>
      <c r="M10" s="870"/>
      <c r="N10" s="870"/>
      <c r="O10" s="870"/>
    </row>
    <row r="11" spans="1:16" s="110" customFormat="1" hidden="1">
      <c r="B11" s="118" t="s">
        <v>70</v>
      </c>
      <c r="C11" s="110" t="s">
        <v>87</v>
      </c>
      <c r="N11" s="127"/>
    </row>
    <row r="12" spans="1:16" s="110" customFormat="1" hidden="1">
      <c r="B12" s="118" t="s">
        <v>70</v>
      </c>
      <c r="C12" s="110" t="s">
        <v>88</v>
      </c>
      <c r="J12" s="127"/>
      <c r="K12" s="127"/>
      <c r="L12" s="127"/>
      <c r="M12" s="127"/>
      <c r="N12" s="127"/>
    </row>
    <row r="13" spans="1:16" s="110" customFormat="1">
      <c r="A13" s="118"/>
      <c r="E13" s="112"/>
      <c r="K13" s="254" t="s">
        <v>237</v>
      </c>
      <c r="L13" s="121"/>
      <c r="N13" s="253" t="s">
        <v>358</v>
      </c>
      <c r="O13" s="121"/>
    </row>
    <row r="14" spans="1:16" s="132" customFormat="1">
      <c r="D14" s="130"/>
      <c r="E14" s="131"/>
      <c r="H14" s="40"/>
      <c r="K14" s="255"/>
      <c r="L14" s="255"/>
      <c r="M14" s="133"/>
      <c r="N14" s="254" t="s">
        <v>271</v>
      </c>
      <c r="O14" s="292"/>
    </row>
    <row r="15" spans="1:16" s="132" customFormat="1">
      <c r="A15" s="128" t="e">
        <f>'1'!#REF!+1</f>
        <v>#REF!</v>
      </c>
      <c r="B15" s="129" t="s">
        <v>53</v>
      </c>
      <c r="C15" s="129"/>
      <c r="D15" s="130"/>
      <c r="E15" s="131"/>
      <c r="H15" s="136"/>
      <c r="K15" s="266"/>
      <c r="L15" s="255"/>
      <c r="M15" s="137"/>
      <c r="N15" s="256" t="s">
        <v>202</v>
      </c>
      <c r="O15" s="292"/>
    </row>
    <row r="16" spans="1:16" s="132" customFormat="1" ht="8.1" customHeight="1">
      <c r="A16" s="128"/>
      <c r="B16" s="129"/>
      <c r="C16" s="129"/>
      <c r="D16" s="130"/>
      <c r="E16" s="131"/>
      <c r="H16" s="136"/>
      <c r="K16" s="266"/>
      <c r="L16" s="255"/>
      <c r="M16" s="137"/>
      <c r="N16" s="256"/>
      <c r="O16" s="292"/>
    </row>
    <row r="17" spans="1:21" s="132" customFormat="1">
      <c r="A17" s="135"/>
      <c r="B17" s="138" t="s">
        <v>67</v>
      </c>
      <c r="C17" s="138"/>
      <c r="D17" s="130"/>
      <c r="E17" s="139"/>
      <c r="H17" s="134"/>
      <c r="K17" s="257"/>
      <c r="L17" s="255"/>
      <c r="M17" s="140"/>
      <c r="N17" s="257"/>
      <c r="O17" s="292"/>
      <c r="Q17" s="141"/>
      <c r="S17" s="36"/>
      <c r="U17" s="142"/>
    </row>
    <row r="18" spans="1:21" s="132" customFormat="1" ht="22.5" customHeight="1" thickBot="1">
      <c r="A18" s="135"/>
      <c r="B18" s="335" t="s">
        <v>176</v>
      </c>
      <c r="C18" s="95"/>
      <c r="D18" s="130"/>
      <c r="F18" s="139"/>
      <c r="H18" s="134"/>
      <c r="K18" s="267">
        <v>3.1</v>
      </c>
      <c r="L18" s="255"/>
      <c r="M18" s="143"/>
      <c r="N18" s="258">
        <f>N126</f>
        <v>4453557.3030000003</v>
      </c>
      <c r="O18" s="293"/>
      <c r="Q18" s="144"/>
      <c r="S18" s="145" t="e">
        <v>#REF!</v>
      </c>
      <c r="U18" s="146">
        <v>7685038</v>
      </c>
    </row>
    <row r="19" spans="1:21" s="132" customFormat="1" ht="12.75" thickTop="1">
      <c r="A19" s="135"/>
      <c r="D19" s="130"/>
      <c r="E19" s="139"/>
      <c r="G19" s="143"/>
      <c r="H19" s="134"/>
      <c r="I19" s="143"/>
      <c r="L19" s="143"/>
      <c r="M19" s="143"/>
      <c r="N19" s="134"/>
      <c r="O19" s="294"/>
      <c r="Q19" s="134"/>
      <c r="S19" s="145"/>
      <c r="U19" s="147"/>
    </row>
    <row r="20" spans="1:21" s="151" customFormat="1" hidden="1">
      <c r="A20" s="94" t="e">
        <f>+A15+0.1</f>
        <v>#REF!</v>
      </c>
      <c r="B20" s="106" t="s">
        <v>270</v>
      </c>
      <c r="C20" s="184"/>
      <c r="D20" s="184"/>
      <c r="E20" s="184"/>
      <c r="F20" s="184"/>
      <c r="G20" s="184"/>
      <c r="H20" s="184"/>
      <c r="I20" s="184"/>
      <c r="K20" s="110"/>
      <c r="L20" s="149"/>
      <c r="M20" s="149"/>
      <c r="N20" s="150"/>
      <c r="O20" s="119"/>
      <c r="P20" s="110" t="s">
        <v>126</v>
      </c>
    </row>
    <row r="21" spans="1:21" s="151" customFormat="1" hidden="1">
      <c r="A21" s="183"/>
      <c r="B21" s="184"/>
      <c r="C21" s="184"/>
      <c r="D21" s="184"/>
      <c r="E21" s="184"/>
      <c r="F21" s="184"/>
      <c r="G21" s="184"/>
      <c r="H21" s="184"/>
      <c r="I21" s="184"/>
      <c r="J21" s="110"/>
      <c r="K21" s="110"/>
      <c r="L21" s="149"/>
      <c r="M21" s="149"/>
      <c r="N21" s="150"/>
      <c r="O21" s="119"/>
    </row>
    <row r="22" spans="1:21" s="219" customFormat="1" ht="9" hidden="1">
      <c r="B22" s="923" t="s">
        <v>299</v>
      </c>
      <c r="C22" s="924"/>
      <c r="D22" s="927" t="s">
        <v>378</v>
      </c>
      <c r="E22" s="928"/>
      <c r="F22" s="928"/>
      <c r="G22" s="928"/>
      <c r="H22" s="929"/>
      <c r="I22" s="930" t="s">
        <v>297</v>
      </c>
      <c r="J22" s="930"/>
      <c r="K22" s="931"/>
      <c r="L22" s="930" t="s">
        <v>298</v>
      </c>
      <c r="M22" s="930"/>
      <c r="N22" s="930"/>
      <c r="O22" s="930"/>
    </row>
    <row r="23" spans="1:21" s="219" customFormat="1" ht="50.1" hidden="1" customHeight="1">
      <c r="B23" s="925"/>
      <c r="C23" s="926"/>
      <c r="D23" s="220" t="s">
        <v>300</v>
      </c>
      <c r="E23" s="220" t="s">
        <v>272</v>
      </c>
      <c r="F23" s="221" t="s">
        <v>273</v>
      </c>
      <c r="G23" s="221" t="s">
        <v>274</v>
      </c>
      <c r="H23" s="221" t="s">
        <v>301</v>
      </c>
      <c r="I23" s="221" t="s">
        <v>302</v>
      </c>
      <c r="J23" s="221" t="s">
        <v>303</v>
      </c>
      <c r="K23" s="221" t="s">
        <v>275</v>
      </c>
      <c r="L23" s="921" t="s">
        <v>304</v>
      </c>
      <c r="M23" s="922"/>
      <c r="N23" s="222" t="s">
        <v>379</v>
      </c>
      <c r="O23" s="218" t="s">
        <v>117</v>
      </c>
    </row>
    <row r="24" spans="1:21" s="219" customFormat="1" ht="9" hidden="1">
      <c r="B24" s="223"/>
      <c r="C24" s="223"/>
      <c r="D24" s="223"/>
      <c r="E24" s="223"/>
      <c r="F24" s="224"/>
      <c r="G24" s="224"/>
      <c r="H24" s="224"/>
      <c r="I24" s="932" t="s">
        <v>377</v>
      </c>
      <c r="J24" s="933"/>
      <c r="K24" s="933"/>
      <c r="L24" s="225"/>
      <c r="M24" s="225"/>
      <c r="N24" s="226"/>
      <c r="O24" s="225"/>
    </row>
    <row r="25" spans="1:21" s="219" customFormat="1" ht="9" hidden="1">
      <c r="B25" s="227" t="s">
        <v>98</v>
      </c>
      <c r="C25" s="227"/>
      <c r="D25" s="223"/>
      <c r="E25" s="223"/>
      <c r="F25" s="224"/>
      <c r="G25" s="224"/>
      <c r="H25" s="224"/>
      <c r="I25" s="224"/>
      <c r="J25" s="224"/>
      <c r="K25" s="224"/>
      <c r="L25" s="225"/>
      <c r="M25" s="225"/>
      <c r="N25" s="226"/>
      <c r="O25" s="225"/>
    </row>
    <row r="26" spans="1:21" s="219" customFormat="1" ht="9" hidden="1">
      <c r="B26" s="228" t="s">
        <v>207</v>
      </c>
      <c r="C26" s="228"/>
      <c r="D26" s="229">
        <v>42903</v>
      </c>
      <c r="E26" s="230">
        <v>0</v>
      </c>
      <c r="F26" s="230">
        <v>0</v>
      </c>
      <c r="G26" s="231">
        <v>42903</v>
      </c>
      <c r="H26" s="232">
        <f t="shared" ref="H26:H39" si="0">D26+E26+F26-G26</f>
        <v>0</v>
      </c>
      <c r="I26" s="233">
        <f>ROUND(0/1000,0)</f>
        <v>0</v>
      </c>
      <c r="J26" s="232">
        <f>ROUND(0/1000,0)</f>
        <v>0</v>
      </c>
      <c r="K26" s="232">
        <f t="shared" ref="K26:K39" si="1">J26-I26</f>
        <v>0</v>
      </c>
      <c r="L26" s="234">
        <f>ROUND(J26/BS!$H$28*100,2)</f>
        <v>0</v>
      </c>
      <c r="M26" s="234"/>
      <c r="N26" s="234">
        <f>ROUND(J26/BS!$H$11*100,2)</f>
        <v>0</v>
      </c>
      <c r="O26" s="234">
        <f>'working for investmenst note'!H11*100</f>
        <v>0</v>
      </c>
    </row>
    <row r="27" spans="1:21" s="219" customFormat="1" ht="9" hidden="1">
      <c r="B27" s="235" t="s">
        <v>208</v>
      </c>
      <c r="C27" s="235"/>
      <c r="D27" s="229">
        <v>366405</v>
      </c>
      <c r="E27" s="230">
        <v>0</v>
      </c>
      <c r="F27" s="230">
        <v>0</v>
      </c>
      <c r="G27" s="231">
        <v>0</v>
      </c>
      <c r="H27" s="232">
        <f t="shared" si="0"/>
        <v>366405</v>
      </c>
      <c r="I27" s="233">
        <f>ROUND(7434357/1000,0)</f>
        <v>7434</v>
      </c>
      <c r="J27" s="232">
        <f>ROUND(10002856.5/1000,0)</f>
        <v>10003</v>
      </c>
      <c r="K27" s="232">
        <f>J27-I27</f>
        <v>2569</v>
      </c>
      <c r="L27" s="234">
        <f>ROUND(J27/BS!$H$28*100,2)</f>
        <v>0.12</v>
      </c>
      <c r="M27" s="234"/>
      <c r="N27" s="234">
        <f>ROUND(J27/BS!$H$11*100,2)</f>
        <v>0.13</v>
      </c>
      <c r="O27" s="234">
        <f>'working for investmenst note'!H12*100</f>
        <v>7.2219859165312233E-2</v>
      </c>
    </row>
    <row r="28" spans="1:21" s="219" customFormat="1" ht="9" hidden="1">
      <c r="B28" s="235" t="s">
        <v>210</v>
      </c>
      <c r="C28" s="235"/>
      <c r="D28" s="229">
        <v>26620</v>
      </c>
      <c r="E28" s="230">
        <v>0</v>
      </c>
      <c r="F28" s="230">
        <v>0</v>
      </c>
      <c r="G28" s="231">
        <v>0</v>
      </c>
      <c r="H28" s="232">
        <f t="shared" si="0"/>
        <v>26620</v>
      </c>
      <c r="I28" s="233">
        <f>ROUND(799399/1000,0)</f>
        <v>799</v>
      </c>
      <c r="J28" s="232">
        <f>ROUND(872071.2/1000,0)</f>
        <v>872</v>
      </c>
      <c r="K28" s="232">
        <f t="shared" si="1"/>
        <v>73</v>
      </c>
      <c r="L28" s="234">
        <f>ROUND(J28/BS!$H$28*100,2)</f>
        <v>0.01</v>
      </c>
      <c r="M28" s="234"/>
      <c r="N28" s="234">
        <f>ROUND(J28/BS!$H$11*100,2)</f>
        <v>0.01</v>
      </c>
      <c r="O28" s="234">
        <f>'working for investmenst note'!H14*100</f>
        <v>4.3629552646299542E-3</v>
      </c>
    </row>
    <row r="29" spans="1:21" s="219" customFormat="1" ht="9" hidden="1">
      <c r="B29" s="235" t="s">
        <v>209</v>
      </c>
      <c r="C29" s="235"/>
      <c r="D29" s="229">
        <v>4620970</v>
      </c>
      <c r="E29" s="230">
        <v>0</v>
      </c>
      <c r="F29" s="230">
        <v>0</v>
      </c>
      <c r="G29" s="231">
        <v>0</v>
      </c>
      <c r="H29" s="232">
        <f t="shared" si="0"/>
        <v>4620970</v>
      </c>
      <c r="I29" s="233">
        <f>ROUND(58224222/1000,0)</f>
        <v>58224</v>
      </c>
      <c r="J29" s="232">
        <f>ROUND(63630756.9/1000,0)</f>
        <v>63631</v>
      </c>
      <c r="K29" s="232">
        <f t="shared" si="1"/>
        <v>5407</v>
      </c>
      <c r="L29" s="234">
        <f>ROUND(J29/BS!$H$28*100,2)</f>
        <v>0.77</v>
      </c>
      <c r="M29" s="234"/>
      <c r="N29" s="234">
        <f>ROUND(J29/BS!$H$11*100,2)</f>
        <v>0.82</v>
      </c>
      <c r="O29" s="234">
        <f>'working for investmenst note'!H13*100</f>
        <v>0.34250812896919358</v>
      </c>
    </row>
    <row r="30" spans="1:21" s="219" customFormat="1" ht="9" hidden="1">
      <c r="B30" s="235" t="s">
        <v>212</v>
      </c>
      <c r="C30" s="235"/>
      <c r="D30" s="229">
        <v>148980</v>
      </c>
      <c r="E30" s="230">
        <v>0</v>
      </c>
      <c r="F30" s="230">
        <v>0</v>
      </c>
      <c r="G30" s="231">
        <v>0</v>
      </c>
      <c r="H30" s="232">
        <f t="shared" si="0"/>
        <v>148980</v>
      </c>
      <c r="I30" s="233">
        <f>ROUND(1854801/1000,0)</f>
        <v>1855</v>
      </c>
      <c r="J30" s="232">
        <f>ROUND(2611619.4/1000,0)</f>
        <v>2612</v>
      </c>
      <c r="K30" s="232">
        <f t="shared" si="1"/>
        <v>757</v>
      </c>
      <c r="L30" s="234">
        <f>ROUND(J30/BS!$H$28*100,2)</f>
        <v>0.03</v>
      </c>
      <c r="M30" s="234"/>
      <c r="N30" s="234">
        <f>ROUND(J30/BS!$H$11*100,2)</f>
        <v>0.03</v>
      </c>
      <c r="O30" s="234">
        <f>'working for investmenst note'!H16*100</f>
        <v>2.4459395318696987E-2</v>
      </c>
    </row>
    <row r="31" spans="1:21" s="219" customFormat="1" ht="9" hidden="1">
      <c r="B31" s="235" t="s">
        <v>94</v>
      </c>
      <c r="C31" s="235"/>
      <c r="D31" s="229">
        <v>1210263</v>
      </c>
      <c r="E31" s="230">
        <v>0</v>
      </c>
      <c r="F31" s="230">
        <v>0</v>
      </c>
      <c r="G31" s="231">
        <v>250000</v>
      </c>
      <c r="H31" s="232">
        <f t="shared" si="0"/>
        <v>960263</v>
      </c>
      <c r="I31" s="233">
        <f>ROUND(114069641.95249/1000,0)</f>
        <v>114070</v>
      </c>
      <c r="J31" s="232">
        <f>ROUND(118534864.72/1000,0)</f>
        <v>118535</v>
      </c>
      <c r="K31" s="232">
        <f t="shared" si="1"/>
        <v>4465</v>
      </c>
      <c r="L31" s="234">
        <f>ROUND(J31/BS!$H$28*100,2)</f>
        <v>1.44</v>
      </c>
      <c r="M31" s="234"/>
      <c r="N31" s="234">
        <f>ROUND(J31/BS!$H$11*100,2)</f>
        <v>1.53</v>
      </c>
      <c r="O31" s="234">
        <f>'working for investmenst note'!H17*100</f>
        <v>0.10543072024593762</v>
      </c>
    </row>
    <row r="32" spans="1:21" s="219" customFormat="1" ht="9" hidden="1">
      <c r="B32" s="235" t="s">
        <v>95</v>
      </c>
      <c r="C32" s="235"/>
      <c r="D32" s="229">
        <v>1342775</v>
      </c>
      <c r="E32" s="230">
        <v>0</v>
      </c>
      <c r="F32" s="230">
        <v>0</v>
      </c>
      <c r="G32" s="231">
        <v>750000</v>
      </c>
      <c r="H32" s="232">
        <f t="shared" si="0"/>
        <v>592775</v>
      </c>
      <c r="I32" s="233">
        <f>ROUND(122627364.139636/1000,0)</f>
        <v>122627</v>
      </c>
      <c r="J32" s="232">
        <f>ROUND(130220812/1000,0)</f>
        <v>130221</v>
      </c>
      <c r="K32" s="232">
        <f t="shared" si="1"/>
        <v>7594</v>
      </c>
      <c r="L32" s="234">
        <f>ROUND(J32/BS!$H$28*100,2)</f>
        <v>1.58</v>
      </c>
      <c r="M32" s="234"/>
      <c r="N32" s="234">
        <f>ROUND(J32/BS!$H$11*100,2)</f>
        <v>1.68</v>
      </c>
      <c r="O32" s="234">
        <f>'working for investmenst note'!H18*100</f>
        <v>8.5772122739759329E-2</v>
      </c>
    </row>
    <row r="33" spans="2:15" s="219" customFormat="1" ht="9" hidden="1">
      <c r="B33" s="235" t="s">
        <v>215</v>
      </c>
      <c r="C33" s="235"/>
      <c r="D33" s="229">
        <v>3553</v>
      </c>
      <c r="E33" s="230">
        <v>0</v>
      </c>
      <c r="F33" s="230">
        <v>0</v>
      </c>
      <c r="G33" s="231">
        <v>3553</v>
      </c>
      <c r="H33" s="232">
        <f t="shared" si="0"/>
        <v>0</v>
      </c>
      <c r="I33" s="233">
        <f>ROUND(0/1000,0)</f>
        <v>0</v>
      </c>
      <c r="J33" s="232">
        <f>ROUND(0/1000,0)</f>
        <v>0</v>
      </c>
      <c r="K33" s="232">
        <f t="shared" si="1"/>
        <v>0</v>
      </c>
      <c r="L33" s="234">
        <f>ROUND(J33/BS!$H$28*100,2)</f>
        <v>0</v>
      </c>
      <c r="M33" s="234"/>
      <c r="N33" s="234">
        <f>ROUND(J33/BS!$H$11*100,2)</f>
        <v>0</v>
      </c>
      <c r="O33" s="234">
        <f>'working for investmenst note'!H19*100</f>
        <v>0</v>
      </c>
    </row>
    <row r="34" spans="2:15" s="219" customFormat="1" ht="9" hidden="1">
      <c r="B34" s="235" t="s">
        <v>216</v>
      </c>
      <c r="C34" s="235"/>
      <c r="D34" s="229">
        <v>10779325</v>
      </c>
      <c r="E34" s="230">
        <v>0</v>
      </c>
      <c r="F34" s="230">
        <v>0</v>
      </c>
      <c r="G34" s="231">
        <v>3450000</v>
      </c>
      <c r="H34" s="232">
        <f t="shared" si="0"/>
        <v>7329325</v>
      </c>
      <c r="I34" s="233">
        <f>ROUND(577697396.839971/1000,0)</f>
        <v>577697</v>
      </c>
      <c r="J34" s="232">
        <f>ROUND(545081900.25/1000,0)</f>
        <v>545082</v>
      </c>
      <c r="K34" s="232">
        <f t="shared" si="1"/>
        <v>-32615</v>
      </c>
      <c r="L34" s="234">
        <f>ROUND(J34/BS!$H$28*100,2)</f>
        <v>6.63</v>
      </c>
      <c r="M34" s="234"/>
      <c r="N34" s="234">
        <f>ROUND(J34/BS!$H$11*100,2)</f>
        <v>7.05</v>
      </c>
      <c r="O34" s="234">
        <f>'working for investmenst note'!H20*100</f>
        <v>0.68092982144338643</v>
      </c>
    </row>
    <row r="35" spans="2:15" s="219" customFormat="1" ht="9" hidden="1">
      <c r="B35" s="235" t="s">
        <v>104</v>
      </c>
      <c r="C35" s="235"/>
      <c r="D35" s="229">
        <v>1696039</v>
      </c>
      <c r="E35" s="230">
        <v>0</v>
      </c>
      <c r="F35" s="230">
        <v>0</v>
      </c>
      <c r="G35" s="231">
        <v>750000</v>
      </c>
      <c r="H35" s="232">
        <f t="shared" si="0"/>
        <v>946039</v>
      </c>
      <c r="I35" s="233">
        <f>ROUND(5212674.95135725/1000,0)</f>
        <v>5213</v>
      </c>
      <c r="J35" s="232">
        <f>ROUND(4540987.2/1000,0)</f>
        <v>4541</v>
      </c>
      <c r="K35" s="232">
        <f t="shared" si="1"/>
        <v>-672</v>
      </c>
      <c r="L35" s="234">
        <f>ROUND(J35/BS!$H$28*100,2)</f>
        <v>0.06</v>
      </c>
      <c r="M35" s="234"/>
      <c r="N35" s="234">
        <f>ROUND(J35/BS!$H$11*100,2)</f>
        <v>0.06</v>
      </c>
      <c r="O35" s="234">
        <f>'working for investmenst note'!H21*100</f>
        <v>2.3395224257226069E-2</v>
      </c>
    </row>
    <row r="36" spans="2:15" s="219" customFormat="1" ht="9" hidden="1">
      <c r="B36" s="235" t="s">
        <v>131</v>
      </c>
      <c r="C36" s="235"/>
      <c r="D36" s="229">
        <v>97704</v>
      </c>
      <c r="E36" s="230">
        <v>0</v>
      </c>
      <c r="F36" s="230">
        <v>0</v>
      </c>
      <c r="G36" s="231">
        <v>97704</v>
      </c>
      <c r="H36" s="232">
        <f t="shared" si="0"/>
        <v>0</v>
      </c>
      <c r="I36" s="233">
        <f>ROUND(0/1000,0)</f>
        <v>0</v>
      </c>
      <c r="J36" s="232">
        <f>ROUND(0/1000,0)</f>
        <v>0</v>
      </c>
      <c r="K36" s="232">
        <f t="shared" si="1"/>
        <v>0</v>
      </c>
      <c r="L36" s="234">
        <f>ROUND(J36/BS!$H$28*100,2)</f>
        <v>0</v>
      </c>
      <c r="M36" s="234"/>
      <c r="N36" s="234">
        <f>ROUND(J36/BS!$H$11*100,2)</f>
        <v>0</v>
      </c>
      <c r="O36" s="234">
        <f>'working for investmenst note'!H23*100</f>
        <v>0</v>
      </c>
    </row>
    <row r="37" spans="2:15" s="219" customFormat="1" ht="9" hidden="1">
      <c r="B37" s="235" t="s">
        <v>218</v>
      </c>
      <c r="C37" s="235"/>
      <c r="D37" s="229">
        <v>15163</v>
      </c>
      <c r="E37" s="230">
        <v>0</v>
      </c>
      <c r="F37" s="230">
        <v>0</v>
      </c>
      <c r="G37" s="231">
        <v>15163</v>
      </c>
      <c r="H37" s="232">
        <f t="shared" si="0"/>
        <v>0</v>
      </c>
      <c r="I37" s="233">
        <f>ROUND(0/1000,0)</f>
        <v>0</v>
      </c>
      <c r="J37" s="232">
        <f>ROUND(0/1000,0)</f>
        <v>0</v>
      </c>
      <c r="K37" s="232">
        <f t="shared" si="1"/>
        <v>0</v>
      </c>
      <c r="L37" s="234">
        <f>ROUND(J37/BS!$H$28*100,2)</f>
        <v>0</v>
      </c>
      <c r="M37" s="234"/>
      <c r="N37" s="234">
        <f>ROUND(J37/BS!$H$11*100,2)</f>
        <v>0</v>
      </c>
      <c r="O37" s="234">
        <f>'working for investmenst note'!H22*100</f>
        <v>0</v>
      </c>
    </row>
    <row r="38" spans="2:15" s="219" customFormat="1" ht="9" hidden="1">
      <c r="B38" s="235" t="s">
        <v>211</v>
      </c>
      <c r="C38" s="235"/>
      <c r="D38" s="229">
        <v>496280</v>
      </c>
      <c r="E38" s="230">
        <v>0</v>
      </c>
      <c r="F38" s="230">
        <v>0</v>
      </c>
      <c r="G38" s="231">
        <v>0</v>
      </c>
      <c r="H38" s="232">
        <f t="shared" si="0"/>
        <v>496280</v>
      </c>
      <c r="I38" s="233">
        <f>ROUND(6531045/1000,0)</f>
        <v>6531</v>
      </c>
      <c r="J38" s="232">
        <f>ROUND(9677460/1000,0)</f>
        <v>9677</v>
      </c>
      <c r="K38" s="232">
        <f t="shared" si="1"/>
        <v>3146</v>
      </c>
      <c r="L38" s="234">
        <f>ROUND(J38/BS!$H$28*100,2)</f>
        <v>0.12</v>
      </c>
      <c r="M38" s="234"/>
      <c r="N38" s="234">
        <f>ROUND(J38/BS!$H$11*100,2)</f>
        <v>0.13</v>
      </c>
      <c r="O38" s="234">
        <f>'working for investmenst note'!H15*100</f>
        <v>9.3850688373278687E-2</v>
      </c>
    </row>
    <row r="39" spans="2:15" s="219" customFormat="1" ht="9" hidden="1">
      <c r="B39" s="235" t="s">
        <v>220</v>
      </c>
      <c r="C39" s="235"/>
      <c r="D39" s="229">
        <v>2157677</v>
      </c>
      <c r="E39" s="230">
        <v>0</v>
      </c>
      <c r="F39" s="230">
        <v>0</v>
      </c>
      <c r="G39" s="231">
        <v>650000</v>
      </c>
      <c r="H39" s="232">
        <f t="shared" si="0"/>
        <v>1507677</v>
      </c>
      <c r="I39" s="233">
        <f>ROUND(83057925.9789125/1000,0)</f>
        <v>83058</v>
      </c>
      <c r="J39" s="232">
        <f>ROUND(88123720.65/1000,0)</f>
        <v>88124</v>
      </c>
      <c r="K39" s="232">
        <f t="shared" si="1"/>
        <v>5066</v>
      </c>
      <c r="L39" s="234">
        <f>ROUND(J39/BS!$H$28*100,2)</f>
        <v>1.07</v>
      </c>
      <c r="M39" s="234"/>
      <c r="N39" s="234">
        <f>ROUND(J39/BS!$H$11*100,2)</f>
        <v>1.1399999999999999</v>
      </c>
      <c r="O39" s="234">
        <f>'working for investmenst note'!H24*100</f>
        <v>0.13547395085609037</v>
      </c>
    </row>
    <row r="40" spans="2:15" s="237" customFormat="1" ht="9" hidden="1">
      <c r="D40" s="333">
        <f t="shared" ref="D40:I40" si="2">SUM(D26:D39)</f>
        <v>23004657</v>
      </c>
      <c r="E40" s="333">
        <f t="shared" si="2"/>
        <v>0</v>
      </c>
      <c r="F40" s="333">
        <f t="shared" si="2"/>
        <v>0</v>
      </c>
      <c r="G40" s="333">
        <f t="shared" si="2"/>
        <v>6009323</v>
      </c>
      <c r="H40" s="333">
        <f t="shared" si="2"/>
        <v>16995334</v>
      </c>
      <c r="I40" s="333">
        <f t="shared" si="2"/>
        <v>977508</v>
      </c>
      <c r="J40" s="333">
        <f>SUM(J26:J39)</f>
        <v>973298</v>
      </c>
      <c r="K40" s="333">
        <f>SUM(K26:K39)</f>
        <v>-4210</v>
      </c>
      <c r="L40" s="334">
        <f>SUM(L26:L39)</f>
        <v>11.83</v>
      </c>
      <c r="M40" s="333"/>
      <c r="N40" s="334">
        <f>SUM(N26:N39)</f>
        <v>12.580000000000002</v>
      </c>
      <c r="O40" s="355"/>
    </row>
    <row r="41" spans="2:15" s="219" customFormat="1" ht="6" hidden="1" customHeight="1">
      <c r="B41" s="227"/>
      <c r="C41" s="227"/>
      <c r="D41" s="229"/>
      <c r="E41" s="237"/>
      <c r="F41" s="233"/>
      <c r="G41" s="231"/>
      <c r="H41" s="238"/>
      <c r="I41" s="233"/>
      <c r="J41" s="238"/>
      <c r="K41" s="238"/>
      <c r="L41" s="239"/>
      <c r="M41" s="239"/>
      <c r="N41" s="239"/>
      <c r="O41" s="239"/>
    </row>
    <row r="42" spans="2:15" s="219" customFormat="1" ht="9" hidden="1">
      <c r="B42" s="240" t="s">
        <v>225</v>
      </c>
      <c r="C42" s="240"/>
      <c r="D42" s="229"/>
      <c r="E42" s="237"/>
      <c r="F42" s="233"/>
      <c r="G42" s="231"/>
      <c r="H42" s="238"/>
      <c r="I42" s="233"/>
      <c r="J42" s="238"/>
      <c r="K42" s="238"/>
      <c r="L42" s="239"/>
      <c r="M42" s="239"/>
      <c r="N42" s="239"/>
      <c r="O42" s="239"/>
    </row>
    <row r="43" spans="2:15" s="219" customFormat="1" ht="9" hidden="1">
      <c r="B43" s="241" t="s">
        <v>222</v>
      </c>
      <c r="C43" s="241"/>
      <c r="D43" s="229">
        <v>543590</v>
      </c>
      <c r="E43" s="231">
        <v>0</v>
      </c>
      <c r="F43" s="231">
        <v>0</v>
      </c>
      <c r="G43" s="231">
        <v>0</v>
      </c>
      <c r="H43" s="232">
        <f>D43+E43+F43-G43</f>
        <v>543590</v>
      </c>
      <c r="I43" s="233">
        <f>ROUND(56272437/1000,0)</f>
        <v>56272</v>
      </c>
      <c r="J43" s="232">
        <f>ROUND(67024647/1000,0)</f>
        <v>67025</v>
      </c>
      <c r="K43" s="232">
        <f>J43-I43</f>
        <v>10753</v>
      </c>
      <c r="L43" s="234">
        <f>ROUND(J43/BS!$H$28*100,2)</f>
        <v>0.81</v>
      </c>
      <c r="M43" s="234"/>
      <c r="N43" s="234">
        <f>ROUND(J43/BS!$H$11*100,2)</f>
        <v>0.87</v>
      </c>
      <c r="O43" s="234">
        <f>'working for investmenst note'!H27*100</f>
        <v>0.48336856108064558</v>
      </c>
    </row>
    <row r="44" spans="2:15" s="219" customFormat="1" ht="9" hidden="1">
      <c r="B44" s="242" t="s">
        <v>99</v>
      </c>
      <c r="C44" s="242"/>
      <c r="D44" s="229">
        <v>80564</v>
      </c>
      <c r="E44" s="231">
        <v>0</v>
      </c>
      <c r="F44" s="231">
        <v>0</v>
      </c>
      <c r="G44" s="231">
        <v>0</v>
      </c>
      <c r="H44" s="232">
        <f>D44+E44+F44-G44</f>
        <v>80564</v>
      </c>
      <c r="I44" s="233">
        <f>ROUND(7670498/1000,0)</f>
        <v>7670</v>
      </c>
      <c r="J44" s="232">
        <f>ROUND(7863046.4/1000,0)</f>
        <v>7863</v>
      </c>
      <c r="K44" s="232">
        <f>J44-I44</f>
        <v>193</v>
      </c>
      <c r="L44" s="234">
        <f>ROUND(J44/BS!$H$28*100,2)</f>
        <v>0.1</v>
      </c>
      <c r="M44" s="234"/>
      <c r="N44" s="234">
        <f>ROUND(J44/BS!$H$11*100,2)</f>
        <v>0.1</v>
      </c>
      <c r="O44" s="234">
        <f>'working for investmenst note'!H28*100</f>
        <v>7.0055652173913047E-2</v>
      </c>
    </row>
    <row r="45" spans="2:15" s="219" customFormat="1" ht="9" hidden="1">
      <c r="B45" s="242" t="s">
        <v>224</v>
      </c>
      <c r="C45" s="242"/>
      <c r="D45" s="229">
        <v>15379</v>
      </c>
      <c r="E45" s="231">
        <v>0</v>
      </c>
      <c r="F45" s="231">
        <v>0</v>
      </c>
      <c r="G45" s="231">
        <v>0</v>
      </c>
      <c r="H45" s="232">
        <f>D45+E45+F45-G45</f>
        <v>15379</v>
      </c>
      <c r="I45" s="233">
        <f>ROUND(513966/1000,0)-113</f>
        <v>401</v>
      </c>
      <c r="J45" s="232">
        <f>ROUND(401391.9/1000,0)</f>
        <v>401</v>
      </c>
      <c r="K45" s="232">
        <f>J45-I45</f>
        <v>0</v>
      </c>
      <c r="L45" s="234">
        <f>ROUND(J45/BS!$H$28*100,2)</f>
        <v>0</v>
      </c>
      <c r="M45" s="234"/>
      <c r="N45" s="234">
        <f>ROUND(J45/BS!$H$11*100,2)</f>
        <v>0.01</v>
      </c>
      <c r="O45" s="234">
        <f>'working for investmenst note'!H29*100</f>
        <v>5.1263333333333334E-3</v>
      </c>
    </row>
    <row r="46" spans="2:15" s="237" customFormat="1" ht="9" hidden="1">
      <c r="D46" s="333">
        <f t="shared" ref="D46:L46" si="3">SUM(D43:D45)</f>
        <v>639533</v>
      </c>
      <c r="E46" s="333">
        <f t="shared" si="3"/>
        <v>0</v>
      </c>
      <c r="F46" s="333">
        <f t="shared" si="3"/>
        <v>0</v>
      </c>
      <c r="G46" s="333">
        <f t="shared" si="3"/>
        <v>0</v>
      </c>
      <c r="H46" s="333">
        <f t="shared" si="3"/>
        <v>639533</v>
      </c>
      <c r="I46" s="333">
        <f t="shared" si="3"/>
        <v>64343</v>
      </c>
      <c r="J46" s="333">
        <f t="shared" si="3"/>
        <v>75289</v>
      </c>
      <c r="K46" s="333">
        <f>SUM(K43:K45)</f>
        <v>10946</v>
      </c>
      <c r="L46" s="334">
        <f t="shared" si="3"/>
        <v>0.91</v>
      </c>
      <c r="M46" s="333"/>
      <c r="N46" s="334">
        <f>SUM(N43:N45)</f>
        <v>0.98</v>
      </c>
      <c r="O46" s="278"/>
    </row>
    <row r="47" spans="2:15" s="219" customFormat="1" ht="6" hidden="1" customHeight="1">
      <c r="B47" s="243"/>
      <c r="C47" s="243"/>
      <c r="D47" s="229"/>
      <c r="E47" s="237"/>
      <c r="F47" s="233"/>
      <c r="G47" s="231"/>
      <c r="H47" s="238"/>
      <c r="I47" s="233"/>
      <c r="J47" s="238"/>
      <c r="K47" s="238"/>
      <c r="L47" s="239"/>
      <c r="M47" s="239"/>
      <c r="N47" s="239"/>
      <c r="O47" s="239"/>
    </row>
    <row r="48" spans="2:15" s="219" customFormat="1" ht="9" hidden="1">
      <c r="B48" s="240" t="s">
        <v>40</v>
      </c>
      <c r="C48" s="240"/>
      <c r="D48" s="229"/>
      <c r="E48" s="237"/>
      <c r="F48" s="233"/>
      <c r="G48" s="231"/>
      <c r="H48" s="238"/>
      <c r="I48" s="233"/>
      <c r="J48" s="238"/>
      <c r="K48" s="238"/>
      <c r="L48" s="239"/>
      <c r="M48" s="239"/>
      <c r="N48" s="239"/>
      <c r="O48" s="239"/>
    </row>
    <row r="49" spans="2:15" s="219" customFormat="1" ht="9" hidden="1">
      <c r="B49" s="244" t="s">
        <v>226</v>
      </c>
      <c r="C49" s="244"/>
      <c r="D49" s="229">
        <v>814067</v>
      </c>
      <c r="E49" s="231">
        <v>0</v>
      </c>
      <c r="F49" s="231">
        <v>0</v>
      </c>
      <c r="G49" s="231">
        <v>0</v>
      </c>
      <c r="H49" s="232">
        <f>D49+E49+F49-G49</f>
        <v>814067</v>
      </c>
      <c r="I49" s="233">
        <f>ROUND(22167044/1000,0)-5243</f>
        <v>16924</v>
      </c>
      <c r="J49" s="232">
        <f>ROUND(16924452.93/1000,0)</f>
        <v>16924</v>
      </c>
      <c r="K49" s="232">
        <f>J49-I49</f>
        <v>0</v>
      </c>
      <c r="L49" s="234">
        <f>ROUND(J49/BS!$H$28*100,2)</f>
        <v>0.21</v>
      </c>
      <c r="M49" s="234"/>
      <c r="N49" s="234">
        <f>ROUND(J49/BS!$H$11*100,2)</f>
        <v>0.22</v>
      </c>
      <c r="O49" s="234">
        <f>'working for investmenst note'!H32*100</f>
        <v>0.18116570312545205</v>
      </c>
    </row>
    <row r="50" spans="2:15" s="219" customFormat="1" ht="9" hidden="1">
      <c r="B50" s="235" t="s">
        <v>227</v>
      </c>
      <c r="C50" s="235"/>
      <c r="D50" s="229">
        <v>2117074</v>
      </c>
      <c r="E50" s="231">
        <v>0</v>
      </c>
      <c r="F50" s="231">
        <v>0</v>
      </c>
      <c r="G50" s="231">
        <v>0</v>
      </c>
      <c r="H50" s="232">
        <f>D50+E50+F50-G50</f>
        <v>2117074</v>
      </c>
      <c r="I50" s="233">
        <f>ROUND(123594780/1000,0)</f>
        <v>123595</v>
      </c>
      <c r="J50" s="232">
        <f>ROUND(147983472.6/1000,0)</f>
        <v>147983</v>
      </c>
      <c r="K50" s="232">
        <f>J50-I50</f>
        <v>24388</v>
      </c>
      <c r="L50" s="234">
        <f>ROUND(J50/BS!$H$28*100,2)</f>
        <v>1.8</v>
      </c>
      <c r="M50" s="234"/>
      <c r="N50" s="234">
        <f>ROUND(J50/BS!$H$11*100,2)</f>
        <v>1.91</v>
      </c>
      <c r="O50" s="234">
        <f>'working for investmenst note'!H33*100</f>
        <v>0.87308249207056832</v>
      </c>
    </row>
    <row r="51" spans="2:15" s="237" customFormat="1" ht="9" hidden="1">
      <c r="D51" s="333">
        <f t="shared" ref="D51:J51" si="4">SUM(D49:D50)</f>
        <v>2931141</v>
      </c>
      <c r="E51" s="333">
        <f t="shared" si="4"/>
        <v>0</v>
      </c>
      <c r="F51" s="333">
        <f t="shared" si="4"/>
        <v>0</v>
      </c>
      <c r="G51" s="333">
        <f t="shared" si="4"/>
        <v>0</v>
      </c>
      <c r="H51" s="333">
        <f t="shared" si="4"/>
        <v>2931141</v>
      </c>
      <c r="I51" s="333">
        <f t="shared" si="4"/>
        <v>140519</v>
      </c>
      <c r="J51" s="333">
        <f t="shared" si="4"/>
        <v>164907</v>
      </c>
      <c r="K51" s="333">
        <f>SUM(K49:K50)</f>
        <v>24388</v>
      </c>
      <c r="L51" s="334">
        <f>SUM(L49:L50)</f>
        <v>2.0100000000000002</v>
      </c>
      <c r="M51" s="333"/>
      <c r="N51" s="334">
        <f>SUM(N49:N50)</f>
        <v>2.13</v>
      </c>
      <c r="O51" s="355"/>
    </row>
    <row r="52" spans="2:15" s="219" customFormat="1" ht="6" hidden="1" customHeight="1">
      <c r="B52" s="227"/>
      <c r="C52" s="227"/>
      <c r="D52" s="229"/>
      <c r="E52" s="237"/>
      <c r="F52" s="233"/>
      <c r="G52" s="231"/>
      <c r="H52" s="238"/>
      <c r="I52" s="233"/>
      <c r="J52" s="238"/>
      <c r="K52" s="238"/>
      <c r="L52" s="239"/>
      <c r="M52" s="239"/>
      <c r="N52" s="239"/>
      <c r="O52" s="239"/>
    </row>
    <row r="53" spans="2:15" s="219" customFormat="1" ht="9" hidden="1">
      <c r="B53" s="240" t="s">
        <v>370</v>
      </c>
      <c r="C53" s="240"/>
      <c r="D53" s="229"/>
      <c r="E53" s="237"/>
      <c r="F53" s="233"/>
      <c r="G53" s="231"/>
      <c r="H53" s="238"/>
      <c r="I53" s="233"/>
      <c r="J53" s="238"/>
      <c r="K53" s="238"/>
      <c r="L53" s="239"/>
      <c r="M53" s="239"/>
      <c r="N53" s="239"/>
      <c r="O53" s="239"/>
    </row>
    <row r="54" spans="2:15" s="219" customFormat="1" ht="9" hidden="1">
      <c r="B54" s="244" t="s">
        <v>229</v>
      </c>
      <c r="C54" s="244"/>
      <c r="D54" s="229">
        <v>6417423</v>
      </c>
      <c r="E54" s="245">
        <v>0</v>
      </c>
      <c r="F54" s="245">
        <v>0</v>
      </c>
      <c r="G54" s="246">
        <v>0</v>
      </c>
      <c r="H54" s="232">
        <f>D54+E54+F54-G54</f>
        <v>6417423</v>
      </c>
      <c r="I54" s="233">
        <f>ROUND(226855903/1000,0)</f>
        <v>226856</v>
      </c>
      <c r="J54" s="232">
        <f>ROUND(208951292.88/1000,0)</f>
        <v>208951</v>
      </c>
      <c r="K54" s="232">
        <f>J54-I54</f>
        <v>-17905</v>
      </c>
      <c r="L54" s="234">
        <f>ROUND(J54/BS!$H$28*100,2)</f>
        <v>2.54</v>
      </c>
      <c r="M54" s="234"/>
      <c r="N54" s="234">
        <f>ROUND(J54/BS!$H$11*100,2)</f>
        <v>2.7</v>
      </c>
      <c r="O54" s="234">
        <f>'working for investmenst note'!H36*100</f>
        <v>2.109263978827896</v>
      </c>
    </row>
    <row r="55" spans="2:15" s="219" customFormat="1" ht="9" hidden="1">
      <c r="B55" s="235" t="s">
        <v>230</v>
      </c>
      <c r="C55" s="235"/>
      <c r="D55" s="229">
        <v>331384</v>
      </c>
      <c r="E55" s="245">
        <v>0</v>
      </c>
      <c r="F55" s="284">
        <v>0</v>
      </c>
      <c r="G55" s="246">
        <v>331384</v>
      </c>
      <c r="H55" s="232">
        <f>D55+E55+F55-G55</f>
        <v>0</v>
      </c>
      <c r="I55" s="233">
        <f>ROUND(0/1000,0)</f>
        <v>0</v>
      </c>
      <c r="J55" s="232">
        <f>ROUND(0/1000,0)</f>
        <v>0</v>
      </c>
      <c r="K55" s="232">
        <f>J55-I55</f>
        <v>0</v>
      </c>
      <c r="L55" s="234">
        <f>ROUND(J55/BS!$H$28*100,2)</f>
        <v>0</v>
      </c>
      <c r="M55" s="234"/>
      <c r="N55" s="234">
        <f>ROUND(J55/BS!$H$11*100,2)</f>
        <v>0</v>
      </c>
      <c r="O55" s="234">
        <f>'working for investmenst note'!H37*100</f>
        <v>0</v>
      </c>
    </row>
    <row r="56" spans="2:15" s="219" customFormat="1" ht="9" hidden="1">
      <c r="B56" s="235" t="s">
        <v>231</v>
      </c>
      <c r="C56" s="235"/>
      <c r="D56" s="229">
        <v>228669</v>
      </c>
      <c r="E56" s="245">
        <v>0</v>
      </c>
      <c r="F56" s="284">
        <v>0</v>
      </c>
      <c r="G56" s="246">
        <v>228669</v>
      </c>
      <c r="H56" s="232">
        <f>D56+E56+F56-G56</f>
        <v>0</v>
      </c>
      <c r="I56" s="233">
        <f>ROUND(0/1000,0)</f>
        <v>0</v>
      </c>
      <c r="J56" s="232">
        <f>ROUND(0/1000,0)</f>
        <v>0</v>
      </c>
      <c r="K56" s="232">
        <f>J56-I56</f>
        <v>0</v>
      </c>
      <c r="L56" s="234">
        <f>ROUND(J56/BS!$H$28*100,2)</f>
        <v>0</v>
      </c>
      <c r="M56" s="234"/>
      <c r="N56" s="234">
        <f>ROUND(J56/BS!$H$11*100,2)</f>
        <v>0</v>
      </c>
      <c r="O56" s="234">
        <f>'working for investmenst note'!H38*100</f>
        <v>0</v>
      </c>
    </row>
    <row r="57" spans="2:15" s="219" customFormat="1" ht="9" hidden="1">
      <c r="B57" s="235" t="s">
        <v>232</v>
      </c>
      <c r="C57" s="235"/>
      <c r="D57" s="229">
        <v>7244852</v>
      </c>
      <c r="E57" s="245">
        <v>0</v>
      </c>
      <c r="F57" s="284">
        <v>0</v>
      </c>
      <c r="G57" s="246">
        <v>0</v>
      </c>
      <c r="H57" s="232">
        <f>D57+E57+F57-G57</f>
        <v>7244852</v>
      </c>
      <c r="I57" s="233">
        <f>ROUND(555535251/1000,0)</f>
        <v>555535</v>
      </c>
      <c r="J57" s="232">
        <f>ROUND(479898996.48/1000,0)</f>
        <v>479899</v>
      </c>
      <c r="K57" s="232">
        <f>J57-I57</f>
        <v>-75636</v>
      </c>
      <c r="L57" s="234">
        <f>ROUND(J57/BS!$H$28*100,2)</f>
        <v>5.83</v>
      </c>
      <c r="M57" s="234"/>
      <c r="N57" s="234">
        <f>ROUND(J57/BS!$H$11*100,2)</f>
        <v>6.21</v>
      </c>
      <c r="O57" s="234">
        <f>'working for investmenst note'!H39*100</f>
        <v>2.2403871666022419</v>
      </c>
    </row>
    <row r="58" spans="2:15" s="219" customFormat="1" ht="9" hidden="1">
      <c r="B58" s="235" t="s">
        <v>369</v>
      </c>
      <c r="C58" s="235"/>
      <c r="D58" s="229">
        <v>28307</v>
      </c>
      <c r="E58" s="245">
        <v>0</v>
      </c>
      <c r="F58" s="284">
        <v>0</v>
      </c>
      <c r="G58" s="246">
        <v>28307</v>
      </c>
      <c r="H58" s="232">
        <f>D58+E58+F58-G58</f>
        <v>0</v>
      </c>
      <c r="I58" s="233">
        <v>0</v>
      </c>
      <c r="J58" s="232">
        <f>ROUND(0/1000,0)</f>
        <v>0</v>
      </c>
      <c r="K58" s="232">
        <f>J58-I58</f>
        <v>0</v>
      </c>
      <c r="L58" s="234">
        <f>ROUND(J58/BS!$H$28*100,2)</f>
        <v>0</v>
      </c>
      <c r="M58" s="234"/>
      <c r="N58" s="234">
        <f>ROUND(J58/BS!$H$11*100,2)</f>
        <v>0</v>
      </c>
      <c r="O58" s="234">
        <f>'working for investmenst note'!H40*100</f>
        <v>0</v>
      </c>
    </row>
    <row r="59" spans="2:15" s="237" customFormat="1" ht="9" hidden="1">
      <c r="D59" s="333">
        <f t="shared" ref="D59:I59" si="5">SUM(D54:D58)</f>
        <v>14250635</v>
      </c>
      <c r="E59" s="333">
        <f t="shared" si="5"/>
        <v>0</v>
      </c>
      <c r="F59" s="333">
        <f t="shared" si="5"/>
        <v>0</v>
      </c>
      <c r="G59" s="333">
        <f t="shared" si="5"/>
        <v>588360</v>
      </c>
      <c r="H59" s="333">
        <f t="shared" si="5"/>
        <v>13662275</v>
      </c>
      <c r="I59" s="333">
        <f t="shared" si="5"/>
        <v>782391</v>
      </c>
      <c r="J59" s="333">
        <f>SUM(J54:J58)</f>
        <v>688850</v>
      </c>
      <c r="K59" s="333">
        <f>SUM(K54:K58)</f>
        <v>-93541</v>
      </c>
      <c r="L59" s="334">
        <f>SUM(L54:L58)</f>
        <v>8.370000000000001</v>
      </c>
      <c r="M59" s="333"/>
      <c r="N59" s="334">
        <f>SUM(N54:N58)</f>
        <v>8.91</v>
      </c>
      <c r="O59" s="355"/>
    </row>
    <row r="60" spans="2:15" s="237" customFormat="1" ht="6" hidden="1" customHeight="1">
      <c r="D60" s="278"/>
      <c r="E60" s="278"/>
      <c r="F60" s="278"/>
      <c r="G60" s="278"/>
      <c r="H60" s="278"/>
      <c r="I60" s="278"/>
      <c r="J60" s="278"/>
      <c r="K60" s="278"/>
      <c r="L60" s="278"/>
      <c r="M60" s="278"/>
      <c r="N60" s="278"/>
      <c r="O60" s="278"/>
    </row>
    <row r="61" spans="2:15" s="219" customFormat="1" ht="9" hidden="1">
      <c r="B61" s="240" t="s">
        <v>376</v>
      </c>
      <c r="C61" s="240"/>
      <c r="D61" s="229"/>
      <c r="E61" s="237"/>
      <c r="F61" s="233"/>
      <c r="G61" s="231"/>
      <c r="H61" s="238"/>
      <c r="I61" s="233"/>
      <c r="J61" s="238"/>
      <c r="K61" s="238"/>
      <c r="L61" s="239"/>
      <c r="M61" s="239"/>
      <c r="N61" s="239"/>
      <c r="O61" s="239"/>
    </row>
    <row r="62" spans="2:15" s="219" customFormat="1" ht="9" hidden="1">
      <c r="B62" s="244" t="s">
        <v>372</v>
      </c>
      <c r="C62" s="244"/>
      <c r="D62" s="229">
        <v>163210</v>
      </c>
      <c r="E62" s="247">
        <v>0</v>
      </c>
      <c r="F62" s="247">
        <v>0</v>
      </c>
      <c r="G62" s="232">
        <v>0</v>
      </c>
      <c r="H62" s="232">
        <f>D62+E62+F62-G62</f>
        <v>163210</v>
      </c>
      <c r="I62" s="233">
        <f>ROUND(25264908/1000,0)</f>
        <v>25265</v>
      </c>
      <c r="J62" s="232">
        <f>ROUND(22511555.3/1000,0)</f>
        <v>22512</v>
      </c>
      <c r="K62" s="232">
        <f>J62-I62</f>
        <v>-2753</v>
      </c>
      <c r="L62" s="234">
        <f>ROUND(J62/BS!$H$28*100,2)</f>
        <v>0.27</v>
      </c>
      <c r="M62" s="234"/>
      <c r="N62" s="234">
        <f>ROUND(J62/BS!$H$11*100,2)</f>
        <v>0.28999999999999998</v>
      </c>
      <c r="O62" s="234">
        <f>'working for investmenst note'!H43*100</f>
        <v>0.19135216254557819</v>
      </c>
    </row>
    <row r="63" spans="2:15" s="219" customFormat="1" ht="9" hidden="1">
      <c r="B63" s="235" t="s">
        <v>373</v>
      </c>
      <c r="C63" s="235"/>
      <c r="D63" s="229">
        <v>194806</v>
      </c>
      <c r="E63" s="247">
        <v>0</v>
      </c>
      <c r="F63" s="247">
        <v>0</v>
      </c>
      <c r="G63" s="232">
        <v>194806</v>
      </c>
      <c r="H63" s="232">
        <f>D63+E63+F63-G63</f>
        <v>0</v>
      </c>
      <c r="I63" s="233">
        <f>ROUND(0/1000,0)</f>
        <v>0</v>
      </c>
      <c r="J63" s="232">
        <f>ROUND(0/1000,0)</f>
        <v>0</v>
      </c>
      <c r="K63" s="232">
        <f>J63-I63</f>
        <v>0</v>
      </c>
      <c r="L63" s="234">
        <f>ROUND(J63/BS!$H$28*100,2)</f>
        <v>0</v>
      </c>
      <c r="M63" s="234"/>
      <c r="N63" s="234">
        <f>ROUND(J63/BS!$H$11*100,2)</f>
        <v>0</v>
      </c>
      <c r="O63" s="234">
        <f>'working for investmenst note'!H44*100</f>
        <v>0</v>
      </c>
    </row>
    <row r="64" spans="2:15" s="219" customFormat="1" ht="9" hidden="1">
      <c r="B64" s="235" t="s">
        <v>374</v>
      </c>
      <c r="C64" s="235"/>
      <c r="D64" s="229">
        <v>8584</v>
      </c>
      <c r="E64" s="247">
        <v>0</v>
      </c>
      <c r="F64" s="247">
        <v>0</v>
      </c>
      <c r="G64" s="232">
        <v>0</v>
      </c>
      <c r="H64" s="232">
        <f>D64+E64+F64-G64</f>
        <v>8584</v>
      </c>
      <c r="I64" s="233">
        <f>ROUND(1881613/1000,0)</f>
        <v>1882</v>
      </c>
      <c r="J64" s="232">
        <f>ROUND(1517822.88/1000,0)</f>
        <v>1518</v>
      </c>
      <c r="K64" s="232">
        <f>J64-I64</f>
        <v>-364</v>
      </c>
      <c r="L64" s="234">
        <f>ROUND(J64/BS!$H$28*100,2)</f>
        <v>0.02</v>
      </c>
      <c r="M64" s="234"/>
      <c r="N64" s="234">
        <f>ROUND(J64/BS!$H$11*100,2)</f>
        <v>0.02</v>
      </c>
      <c r="O64" s="234">
        <f>'working for investmenst note'!H45*100</f>
        <v>1.0734481646087242E-2</v>
      </c>
    </row>
    <row r="65" spans="1:15" s="219" customFormat="1" ht="9" hidden="1">
      <c r="B65" s="235" t="s">
        <v>375</v>
      </c>
      <c r="C65" s="235"/>
      <c r="D65" s="229">
        <v>48659</v>
      </c>
      <c r="E65" s="247">
        <v>0</v>
      </c>
      <c r="F65" s="247">
        <v>0</v>
      </c>
      <c r="G65" s="232">
        <v>0</v>
      </c>
      <c r="H65" s="232">
        <f>D65+E65+F65-G65</f>
        <v>48659</v>
      </c>
      <c r="I65" s="233">
        <f>ROUND(5479977/1000,0)</f>
        <v>5480</v>
      </c>
      <c r="J65" s="232">
        <f>ROUND(5873141.3/1000,0)</f>
        <v>5873</v>
      </c>
      <c r="K65" s="232">
        <f>J65-I65</f>
        <v>393</v>
      </c>
      <c r="L65" s="234">
        <f>ROUND(J65/BS!$H$28*100,2)</f>
        <v>7.0000000000000007E-2</v>
      </c>
      <c r="M65" s="234"/>
      <c r="N65" s="234">
        <f>ROUND(J65/BS!$H$11*100,2)</f>
        <v>0.08</v>
      </c>
      <c r="O65" s="356">
        <f>'working for investmenst note'!H46*100</f>
        <v>0.13902571428571428</v>
      </c>
    </row>
    <row r="66" spans="1:15" s="237" customFormat="1" ht="9" hidden="1">
      <c r="D66" s="333">
        <f t="shared" ref="D66:L66" si="6">SUM(D62:D65)</f>
        <v>415259</v>
      </c>
      <c r="E66" s="333">
        <f t="shared" si="6"/>
        <v>0</v>
      </c>
      <c r="F66" s="333">
        <f t="shared" si="6"/>
        <v>0</v>
      </c>
      <c r="G66" s="333">
        <f t="shared" si="6"/>
        <v>194806</v>
      </c>
      <c r="H66" s="333">
        <f t="shared" si="6"/>
        <v>220453</v>
      </c>
      <c r="I66" s="333">
        <f t="shared" si="6"/>
        <v>32627</v>
      </c>
      <c r="J66" s="333">
        <f>SUM(J62:J65)</f>
        <v>29903</v>
      </c>
      <c r="K66" s="333">
        <f>SUM(K62:K65)</f>
        <v>-2724</v>
      </c>
      <c r="L66" s="334">
        <f t="shared" si="6"/>
        <v>0.36000000000000004</v>
      </c>
      <c r="M66" s="333"/>
      <c r="N66" s="334">
        <f>SUM(N62:N65)</f>
        <v>0.39</v>
      </c>
      <c r="O66" s="278"/>
    </row>
    <row r="67" spans="1:15" s="219" customFormat="1" ht="6" hidden="1" customHeight="1">
      <c r="B67" s="227"/>
      <c r="C67" s="227"/>
      <c r="D67" s="229"/>
      <c r="E67" s="237"/>
      <c r="F67" s="233"/>
      <c r="G67" s="232"/>
      <c r="H67" s="238"/>
      <c r="I67" s="233"/>
      <c r="J67" s="238"/>
      <c r="K67" s="238"/>
      <c r="L67" s="239"/>
      <c r="M67" s="239"/>
      <c r="N67" s="239"/>
      <c r="O67" s="239"/>
    </row>
    <row r="68" spans="1:15" s="219" customFormat="1" ht="9" hidden="1">
      <c r="B68" s="240" t="s">
        <v>188</v>
      </c>
      <c r="C68" s="240"/>
      <c r="D68" s="229"/>
      <c r="E68" s="237"/>
      <c r="F68" s="233"/>
      <c r="G68" s="232"/>
      <c r="H68" s="238"/>
      <c r="I68" s="233"/>
      <c r="J68" s="238"/>
      <c r="K68" s="238"/>
      <c r="L68" s="239"/>
      <c r="M68" s="239"/>
      <c r="N68" s="239"/>
      <c r="O68" s="239"/>
    </row>
    <row r="69" spans="1:15" s="219" customFormat="1" ht="9" hidden="1">
      <c r="B69" s="235" t="s">
        <v>136</v>
      </c>
      <c r="C69" s="235"/>
      <c r="D69" s="229">
        <v>13170</v>
      </c>
      <c r="E69" s="247">
        <v>0</v>
      </c>
      <c r="F69" s="247">
        <v>0</v>
      </c>
      <c r="G69" s="247">
        <v>0</v>
      </c>
      <c r="H69" s="232">
        <f>D69+E69+F69-G69</f>
        <v>13170</v>
      </c>
      <c r="I69" s="233">
        <f>ROUND(688659/1000,0)</f>
        <v>689</v>
      </c>
      <c r="J69" s="232">
        <f>ROUND(604107.9/1000,0)</f>
        <v>604</v>
      </c>
      <c r="K69" s="232">
        <f>J69-I69</f>
        <v>-85</v>
      </c>
      <c r="L69" s="234">
        <f>ROUND(J69/BS!$H$28*100,2)</f>
        <v>0.01</v>
      </c>
      <c r="M69" s="234"/>
      <c r="N69" s="234">
        <f>ROUND(J69/BS!$H$11*100,2)</f>
        <v>0.01</v>
      </c>
      <c r="O69" s="234">
        <f>'working for investmenst note'!H50*100</f>
        <v>1.4961604229328561E-3</v>
      </c>
    </row>
    <row r="70" spans="1:15" s="219" customFormat="1" ht="9" hidden="1">
      <c r="B70" s="244" t="s">
        <v>233</v>
      </c>
      <c r="C70" s="244"/>
      <c r="D70" s="229">
        <v>1680201</v>
      </c>
      <c r="E70" s="247">
        <v>0</v>
      </c>
      <c r="F70" s="247">
        <v>0</v>
      </c>
      <c r="G70" s="247">
        <v>0</v>
      </c>
      <c r="H70" s="232">
        <f>D70+E70+F70-G70</f>
        <v>1680201</v>
      </c>
      <c r="I70" s="233">
        <f>ROUND(52304657/1000,0)</f>
        <v>52305</v>
      </c>
      <c r="J70" s="232">
        <f>ROUND(52220647.08/1000,0)</f>
        <v>52221</v>
      </c>
      <c r="K70" s="232">
        <f>J70-I70</f>
        <v>-84</v>
      </c>
      <c r="L70" s="234">
        <f>ROUND(J70/BS!$H$28*100,2)</f>
        <v>0.63</v>
      </c>
      <c r="M70" s="234"/>
      <c r="N70" s="234">
        <f>ROUND(J70/BS!$H$11*100,2)</f>
        <v>0.68</v>
      </c>
      <c r="O70" s="234">
        <f>'working for investmenst note'!H49*100</f>
        <v>0.1452011071296968</v>
      </c>
    </row>
    <row r="71" spans="1:15" s="237" customFormat="1" ht="9" hidden="1">
      <c r="D71" s="333">
        <f t="shared" ref="D71:L71" si="7">SUM(D69:D70)</f>
        <v>1693371</v>
      </c>
      <c r="E71" s="333">
        <f t="shared" si="7"/>
        <v>0</v>
      </c>
      <c r="F71" s="333">
        <f t="shared" si="7"/>
        <v>0</v>
      </c>
      <c r="G71" s="333">
        <f t="shared" si="7"/>
        <v>0</v>
      </c>
      <c r="H71" s="333">
        <f t="shared" si="7"/>
        <v>1693371</v>
      </c>
      <c r="I71" s="333">
        <f t="shared" si="7"/>
        <v>52994</v>
      </c>
      <c r="J71" s="333">
        <f t="shared" si="7"/>
        <v>52825</v>
      </c>
      <c r="K71" s="333">
        <f t="shared" si="7"/>
        <v>-169</v>
      </c>
      <c r="L71" s="334">
        <f t="shared" si="7"/>
        <v>0.64</v>
      </c>
      <c r="M71" s="333"/>
      <c r="N71" s="334">
        <f>SUM(N69:N70)</f>
        <v>0.69000000000000006</v>
      </c>
      <c r="O71" s="278"/>
    </row>
    <row r="72" spans="1:15" s="219" customFormat="1" ht="9" hidden="1">
      <c r="B72" s="227"/>
      <c r="C72" s="227"/>
      <c r="D72" s="229"/>
      <c r="E72" s="237"/>
      <c r="F72" s="233"/>
      <c r="G72" s="231"/>
      <c r="H72" s="238"/>
      <c r="I72" s="233"/>
      <c r="J72" s="238"/>
      <c r="K72" s="238"/>
      <c r="L72" s="239"/>
      <c r="M72" s="239"/>
      <c r="N72" s="239"/>
      <c r="O72" s="239"/>
    </row>
    <row r="73" spans="1:15" hidden="1">
      <c r="A73" s="260" t="e">
        <f>+#REF!+1</f>
        <v>#REF!</v>
      </c>
      <c r="B73" s="268"/>
      <c r="C73" s="268"/>
      <c r="D73" s="198"/>
      <c r="E73" s="269"/>
      <c r="F73" s="198"/>
      <c r="G73" s="198"/>
      <c r="H73" s="199"/>
      <c r="I73" s="198"/>
      <c r="J73" s="199"/>
      <c r="K73" s="199"/>
      <c r="L73" s="200"/>
      <c r="M73" s="200"/>
      <c r="N73" s="200"/>
      <c r="O73" s="200"/>
    </row>
    <row r="74" spans="1:15" hidden="1">
      <c r="B74" s="194"/>
      <c r="C74" s="194"/>
      <c r="D74" s="191"/>
      <c r="E74" s="195"/>
      <c r="F74" s="193"/>
      <c r="G74" s="192"/>
      <c r="H74" s="196"/>
      <c r="I74" s="193"/>
      <c r="J74" s="196"/>
      <c r="K74" s="196"/>
      <c r="L74" s="197"/>
      <c r="M74" s="197"/>
      <c r="N74" s="197"/>
      <c r="O74" s="197"/>
    </row>
    <row r="75" spans="1:15" s="219" customFormat="1" ht="9" hidden="1">
      <c r="B75" s="923" t="s">
        <v>299</v>
      </c>
      <c r="C75" s="924"/>
      <c r="D75" s="927" t="s">
        <v>378</v>
      </c>
      <c r="E75" s="928"/>
      <c r="F75" s="928"/>
      <c r="G75" s="928"/>
      <c r="H75" s="929"/>
      <c r="I75" s="930" t="s">
        <v>297</v>
      </c>
      <c r="J75" s="930"/>
      <c r="K75" s="931"/>
      <c r="L75" s="930" t="s">
        <v>298</v>
      </c>
      <c r="M75" s="930"/>
      <c r="N75" s="930"/>
      <c r="O75" s="930"/>
    </row>
    <row r="76" spans="1:15" s="219" customFormat="1" ht="72" hidden="1">
      <c r="B76" s="925"/>
      <c r="C76" s="926"/>
      <c r="D76" s="220" t="s">
        <v>300</v>
      </c>
      <c r="E76" s="220" t="s">
        <v>272</v>
      </c>
      <c r="F76" s="221" t="s">
        <v>273</v>
      </c>
      <c r="G76" s="221" t="s">
        <v>274</v>
      </c>
      <c r="H76" s="221" t="s">
        <v>301</v>
      </c>
      <c r="I76" s="221" t="s">
        <v>302</v>
      </c>
      <c r="J76" s="221" t="s">
        <v>303</v>
      </c>
      <c r="K76" s="221" t="s">
        <v>275</v>
      </c>
      <c r="L76" s="921" t="s">
        <v>304</v>
      </c>
      <c r="M76" s="922"/>
      <c r="N76" s="222" t="s">
        <v>379</v>
      </c>
      <c r="O76" s="218" t="s">
        <v>116</v>
      </c>
    </row>
    <row r="77" spans="1:15" s="219" customFormat="1" ht="9" hidden="1">
      <c r="B77" s="270"/>
      <c r="C77" s="271"/>
      <c r="D77" s="223"/>
      <c r="E77" s="223"/>
      <c r="F77" s="224"/>
      <c r="G77" s="224"/>
      <c r="H77" s="224"/>
      <c r="I77" s="932" t="s">
        <v>377</v>
      </c>
      <c r="J77" s="933"/>
      <c r="K77" s="933"/>
      <c r="L77" s="225"/>
      <c r="M77" s="225"/>
      <c r="N77" s="226"/>
      <c r="O77" s="225"/>
    </row>
    <row r="78" spans="1:15" s="219" customFormat="1" ht="9" hidden="1">
      <c r="B78" s="240" t="s">
        <v>142</v>
      </c>
      <c r="C78" s="240"/>
      <c r="D78" s="229"/>
      <c r="E78" s="237"/>
      <c r="F78" s="233"/>
      <c r="G78" s="231"/>
      <c r="H78" s="238"/>
      <c r="I78" s="233"/>
      <c r="J78" s="238"/>
      <c r="K78" s="238"/>
      <c r="L78" s="239"/>
      <c r="M78" s="239"/>
      <c r="N78" s="239"/>
      <c r="O78" s="239"/>
    </row>
    <row r="79" spans="1:15" s="219" customFormat="1" ht="9" hidden="1">
      <c r="B79" s="244" t="s">
        <v>138</v>
      </c>
      <c r="C79" s="244"/>
      <c r="D79" s="229">
        <v>8488</v>
      </c>
      <c r="E79" s="230">
        <v>0</v>
      </c>
      <c r="F79" s="230">
        <v>0</v>
      </c>
      <c r="G79" s="231">
        <v>8488</v>
      </c>
      <c r="H79" s="232">
        <f>D79+E79+F79-G79</f>
        <v>0</v>
      </c>
      <c r="I79" s="233">
        <f>ROUND(0/1000,0)</f>
        <v>0</v>
      </c>
      <c r="J79" s="232">
        <f>ROUND(0/1000,0)</f>
        <v>0</v>
      </c>
      <c r="K79" s="232">
        <f>J79-I79</f>
        <v>0</v>
      </c>
      <c r="L79" s="234">
        <f>ROUND(J79/BS!$H$28*100,2)</f>
        <v>0</v>
      </c>
      <c r="M79" s="234"/>
      <c r="N79" s="234">
        <f>ROUND(J79/BS!$H$11*100,2)</f>
        <v>0</v>
      </c>
      <c r="O79" s="234">
        <f>'working for investmenst note'!H53*100</f>
        <v>0</v>
      </c>
    </row>
    <row r="80" spans="1:15" s="219" customFormat="1" ht="9" hidden="1">
      <c r="B80" s="235" t="s">
        <v>139</v>
      </c>
      <c r="C80" s="235"/>
      <c r="D80" s="229">
        <v>965487</v>
      </c>
      <c r="E80" s="230">
        <v>0</v>
      </c>
      <c r="F80" s="230">
        <v>0</v>
      </c>
      <c r="G80" s="231">
        <v>315138</v>
      </c>
      <c r="H80" s="232">
        <f>D80+E80+F80-G80</f>
        <v>650349</v>
      </c>
      <c r="I80" s="233">
        <f>ROUND(192282185.057089/1000,0)</f>
        <v>192282</v>
      </c>
      <c r="J80" s="232">
        <f>ROUND(193439806.56/1000,0)</f>
        <v>193440</v>
      </c>
      <c r="K80" s="232">
        <f>J80-I80</f>
        <v>1158</v>
      </c>
      <c r="L80" s="234">
        <f>ROUND(J80/BS!$H$28*100,2)</f>
        <v>2.35</v>
      </c>
      <c r="M80" s="234"/>
      <c r="N80" s="234">
        <f>ROUND(J80/BS!$H$11*100,2)</f>
        <v>2.5</v>
      </c>
      <c r="O80" s="234">
        <f>'working for investmenst note'!H54*100</f>
        <v>0.37917023769961344</v>
      </c>
    </row>
    <row r="81" spans="2:15" s="219" customFormat="1" ht="9" hidden="1">
      <c r="B81" s="235" t="s">
        <v>140</v>
      </c>
      <c r="C81" s="235"/>
      <c r="D81" s="229">
        <v>446018</v>
      </c>
      <c r="E81" s="230">
        <v>0</v>
      </c>
      <c r="F81" s="230">
        <v>0</v>
      </c>
      <c r="G81" s="231">
        <v>0</v>
      </c>
      <c r="H81" s="232">
        <f>D81+E81+F81-G81</f>
        <v>446018</v>
      </c>
      <c r="I81" s="233">
        <f>ROUND(12907761/1000,0)</f>
        <v>12908</v>
      </c>
      <c r="J81" s="232">
        <f>ROUND(11061246.4/1000,0)</f>
        <v>11061</v>
      </c>
      <c r="K81" s="232">
        <f>J81-I81</f>
        <v>-1847</v>
      </c>
      <c r="L81" s="234">
        <f>ROUND(J81/BS!$H$28*100,2)</f>
        <v>0.13</v>
      </c>
      <c r="M81" s="234"/>
      <c r="N81" s="234">
        <f>ROUND(J81/BS!$H$11*100,2)</f>
        <v>0.14000000000000001</v>
      </c>
      <c r="O81" s="234">
        <f>'working for investmenst note'!H55*100</f>
        <v>8.1226314879860026E-2</v>
      </c>
    </row>
    <row r="82" spans="2:15" s="219" customFormat="1" ht="9" hidden="1">
      <c r="B82" s="235" t="s">
        <v>141</v>
      </c>
      <c r="C82" s="235"/>
      <c r="D82" s="229">
        <v>327667</v>
      </c>
      <c r="E82" s="230">
        <v>0</v>
      </c>
      <c r="F82" s="230">
        <v>0</v>
      </c>
      <c r="G82" s="231">
        <v>0</v>
      </c>
      <c r="H82" s="232">
        <f>D82+E82+F82-G82</f>
        <v>327667</v>
      </c>
      <c r="I82" s="233">
        <f>ROUND(4384184/1000,0)</f>
        <v>4384</v>
      </c>
      <c r="J82" s="232">
        <f>ROUND(4400567.81/1000,0)</f>
        <v>4401</v>
      </c>
      <c r="K82" s="232">
        <f>J82-I82</f>
        <v>17</v>
      </c>
      <c r="L82" s="234">
        <f>ROUND(J82/BS!$H$28*100,2)</f>
        <v>0.05</v>
      </c>
      <c r="M82" s="234"/>
      <c r="N82" s="234">
        <f>ROUND(J82/BS!$H$11*100,2)</f>
        <v>0.06</v>
      </c>
      <c r="O82" s="234">
        <f>'working for investmenst note'!H56*100</f>
        <v>4.8819949032621025E-2</v>
      </c>
    </row>
    <row r="83" spans="2:15" s="237" customFormat="1" ht="9" hidden="1">
      <c r="D83" s="333">
        <f t="shared" ref="D83:J83" si="8">SUM(D79:D82)</f>
        <v>1747660</v>
      </c>
      <c r="E83" s="333">
        <f t="shared" si="8"/>
        <v>0</v>
      </c>
      <c r="F83" s="333">
        <f t="shared" si="8"/>
        <v>0</v>
      </c>
      <c r="G83" s="333">
        <f t="shared" si="8"/>
        <v>323626</v>
      </c>
      <c r="H83" s="333">
        <f t="shared" si="8"/>
        <v>1424034</v>
      </c>
      <c r="I83" s="333">
        <f t="shared" si="8"/>
        <v>209574</v>
      </c>
      <c r="J83" s="333">
        <f t="shared" si="8"/>
        <v>208902</v>
      </c>
      <c r="K83" s="333">
        <f>SUM(K79:K82)</f>
        <v>-672</v>
      </c>
      <c r="L83" s="334">
        <f>SUM(L79:L82)</f>
        <v>2.5299999999999998</v>
      </c>
      <c r="M83" s="333"/>
      <c r="N83" s="334">
        <f>SUM(N79:N82)</f>
        <v>2.7</v>
      </c>
      <c r="O83" s="278"/>
    </row>
    <row r="84" spans="2:15" s="219" customFormat="1" ht="9" hidden="1">
      <c r="B84" s="240" t="s">
        <v>146</v>
      </c>
      <c r="C84" s="240"/>
      <c r="D84" s="229"/>
      <c r="E84" s="237"/>
      <c r="F84" s="233"/>
      <c r="G84" s="231"/>
      <c r="H84" s="238"/>
      <c r="I84" s="233"/>
      <c r="J84" s="238"/>
      <c r="K84" s="238"/>
      <c r="L84" s="239"/>
      <c r="M84" s="239"/>
      <c r="N84" s="239"/>
      <c r="O84" s="239"/>
    </row>
    <row r="85" spans="2:15" s="219" customFormat="1" ht="9" hidden="1">
      <c r="B85" s="244" t="s">
        <v>234</v>
      </c>
      <c r="C85" s="240"/>
      <c r="D85" s="229"/>
      <c r="E85" s="237"/>
      <c r="F85" s="233"/>
      <c r="G85" s="231"/>
      <c r="H85" s="238"/>
      <c r="I85" s="233"/>
      <c r="J85" s="238"/>
      <c r="K85" s="238"/>
      <c r="L85" s="239"/>
      <c r="M85" s="239"/>
      <c r="N85" s="239"/>
      <c r="O85" s="239"/>
    </row>
    <row r="86" spans="2:15" s="219" customFormat="1" ht="9" hidden="1">
      <c r="B86" s="298" t="s">
        <v>31</v>
      </c>
      <c r="C86" s="244"/>
      <c r="D86" s="229">
        <v>8624716</v>
      </c>
      <c r="E86" s="247">
        <v>0</v>
      </c>
      <c r="F86" s="247">
        <v>0</v>
      </c>
      <c r="G86" s="231">
        <v>3787500</v>
      </c>
      <c r="H86" s="232">
        <f>D86+E86+F86-G86</f>
        <v>4837216</v>
      </c>
      <c r="I86" s="233">
        <f>ROUND(542203541.193224/1000,0)</f>
        <v>542204</v>
      </c>
      <c r="J86" s="232">
        <f>ROUND(535044461.76/1000,0)</f>
        <v>535044</v>
      </c>
      <c r="K86" s="232">
        <f>J86-I86</f>
        <v>-7160</v>
      </c>
      <c r="L86" s="234">
        <f>ROUND(J86/BS!$H$28*100,2)</f>
        <v>6.5</v>
      </c>
      <c r="M86" s="234"/>
      <c r="N86" s="234">
        <f>ROUND(J86/BS!$H$11*100,2)</f>
        <v>6.92</v>
      </c>
      <c r="O86" s="234">
        <f>'working for investmenst note'!H59*100</f>
        <v>0.11246911248278393</v>
      </c>
    </row>
    <row r="87" spans="2:15" s="219" customFormat="1" ht="9" hidden="1">
      <c r="B87" s="235" t="s">
        <v>144</v>
      </c>
      <c r="C87" s="235"/>
      <c r="D87" s="229">
        <v>2415759</v>
      </c>
      <c r="E87" s="247">
        <v>0</v>
      </c>
      <c r="F87" s="247">
        <v>0</v>
      </c>
      <c r="G87" s="231">
        <v>825000</v>
      </c>
      <c r="H87" s="232">
        <f>D87+E87+F87-G87</f>
        <v>1590759</v>
      </c>
      <c r="I87" s="233">
        <f>ROUND(340676947.150263/1000,0)</f>
        <v>340677</v>
      </c>
      <c r="J87" s="232">
        <f>ROUND(367099454.43/1000,0)</f>
        <v>367099</v>
      </c>
      <c r="K87" s="232">
        <f>J87-I87</f>
        <v>26422</v>
      </c>
      <c r="L87" s="234">
        <f>ROUND(J87/BS!$H$28*100,2)</f>
        <v>4.46</v>
      </c>
      <c r="M87" s="234"/>
      <c r="N87" s="234">
        <f>ROUND(J87/BS!$H$11*100,2)</f>
        <v>4.75</v>
      </c>
      <c r="O87" s="234">
        <f>'working for investmenst note'!H60*100</f>
        <v>0.6724948519505094</v>
      </c>
    </row>
    <row r="88" spans="2:15" s="219" customFormat="1" ht="9" hidden="1">
      <c r="B88" s="235" t="s">
        <v>145</v>
      </c>
      <c r="C88" s="235"/>
      <c r="D88" s="229">
        <v>3329189</v>
      </c>
      <c r="E88" s="247">
        <v>0</v>
      </c>
      <c r="F88" s="233">
        <v>665837</v>
      </c>
      <c r="G88" s="231">
        <v>1250000</v>
      </c>
      <c r="H88" s="232">
        <f>D88+E88+F88-G88</f>
        <v>2745026</v>
      </c>
      <c r="I88" s="233">
        <f>ROUND(518627016.066223/1000,0)</f>
        <v>518627</v>
      </c>
      <c r="J88" s="232">
        <f>ROUND(520429479.34/1000,0)</f>
        <v>520429</v>
      </c>
      <c r="K88" s="232">
        <f>J88-I88</f>
        <v>1802</v>
      </c>
      <c r="L88" s="234">
        <f>ROUND(J88/BS!$H$28*100,2)</f>
        <v>6.33</v>
      </c>
      <c r="M88" s="234"/>
      <c r="N88" s="234">
        <f>ROUND(J88/BS!$H$11*100,2)</f>
        <v>6.73</v>
      </c>
      <c r="O88" s="234">
        <f>'working for investmenst note'!H61*100</f>
        <v>0.27565616592315523</v>
      </c>
    </row>
    <row r="89" spans="2:15" s="237" customFormat="1" ht="9" hidden="1">
      <c r="D89" s="333">
        <f t="shared" ref="D89:J89" si="9">SUM(D86:D88)</f>
        <v>14369664</v>
      </c>
      <c r="E89" s="333">
        <f t="shared" si="9"/>
        <v>0</v>
      </c>
      <c r="F89" s="333">
        <f t="shared" si="9"/>
        <v>665837</v>
      </c>
      <c r="G89" s="333">
        <f t="shared" si="9"/>
        <v>5862500</v>
      </c>
      <c r="H89" s="333">
        <f t="shared" si="9"/>
        <v>9173001</v>
      </c>
      <c r="I89" s="333">
        <f t="shared" si="9"/>
        <v>1401508</v>
      </c>
      <c r="J89" s="333">
        <f t="shared" si="9"/>
        <v>1422572</v>
      </c>
      <c r="K89" s="333">
        <f>SUM(K86:K88)</f>
        <v>21064</v>
      </c>
      <c r="L89" s="334">
        <f>SUM(L86:L88)</f>
        <v>17.29</v>
      </c>
      <c r="M89" s="333"/>
      <c r="N89" s="334">
        <f>SUM(N86:N88)</f>
        <v>18.399999999999999</v>
      </c>
      <c r="O89" s="355"/>
    </row>
    <row r="90" spans="2:15" s="219" customFormat="1" ht="9" hidden="1">
      <c r="B90" s="240" t="s">
        <v>150</v>
      </c>
      <c r="C90" s="240"/>
      <c r="D90" s="229"/>
      <c r="E90" s="237"/>
      <c r="F90" s="233"/>
      <c r="G90" s="231"/>
      <c r="H90" s="238"/>
      <c r="I90" s="233"/>
      <c r="J90" s="238"/>
      <c r="K90" s="238"/>
      <c r="L90" s="239"/>
      <c r="M90" s="239"/>
      <c r="N90" s="239"/>
      <c r="O90" s="239"/>
    </row>
    <row r="91" spans="2:15" s="219" customFormat="1" ht="9" hidden="1">
      <c r="B91" s="244" t="s">
        <v>118</v>
      </c>
      <c r="C91" s="240"/>
      <c r="D91" s="229"/>
      <c r="E91" s="237"/>
      <c r="F91" s="233"/>
      <c r="G91" s="231"/>
      <c r="H91" s="238"/>
      <c r="I91" s="233"/>
      <c r="J91" s="238"/>
      <c r="K91" s="238"/>
      <c r="L91" s="239"/>
      <c r="M91" s="239"/>
      <c r="N91" s="239"/>
      <c r="O91" s="239"/>
    </row>
    <row r="92" spans="2:15" s="219" customFormat="1" ht="9" hidden="1">
      <c r="B92" s="298" t="s">
        <v>166</v>
      </c>
      <c r="C92" s="244"/>
      <c r="D92" s="229">
        <v>4860639</v>
      </c>
      <c r="E92" s="247">
        <v>0</v>
      </c>
      <c r="F92" s="247">
        <v>0</v>
      </c>
      <c r="G92" s="231">
        <v>0</v>
      </c>
      <c r="H92" s="232">
        <f>D92+E92+F92-G92</f>
        <v>4860639</v>
      </c>
      <c r="I92" s="233">
        <f>ROUND(101878993/1000,0)</f>
        <v>101879</v>
      </c>
      <c r="J92" s="232">
        <f>ROUND(85790278.35/1000,0)</f>
        <v>85790</v>
      </c>
      <c r="K92" s="232">
        <f>J92-I92</f>
        <v>-16089</v>
      </c>
      <c r="L92" s="234">
        <f>ROUND(J92/BS!$H$28*100,2)</f>
        <v>1.04</v>
      </c>
      <c r="M92" s="234"/>
      <c r="N92" s="234">
        <f>ROUND(J92/BS!$H$11*100,2)+0.01</f>
        <v>1.1200000000000001</v>
      </c>
      <c r="O92" s="234">
        <f>'working for investmenst note'!H64*100</f>
        <v>0.12879276629570749</v>
      </c>
    </row>
    <row r="93" spans="2:15" s="219" customFormat="1" ht="9" hidden="1">
      <c r="B93" s="235" t="s">
        <v>148</v>
      </c>
      <c r="C93" s="235"/>
      <c r="D93" s="229">
        <v>118863</v>
      </c>
      <c r="E93" s="247">
        <v>0</v>
      </c>
      <c r="F93" s="247">
        <v>0</v>
      </c>
      <c r="G93" s="231">
        <v>118863</v>
      </c>
      <c r="H93" s="232">
        <f>D93+E93+F93-G93</f>
        <v>0</v>
      </c>
      <c r="I93" s="233">
        <f>ROUND(0/1000,0)</f>
        <v>0</v>
      </c>
      <c r="J93" s="232">
        <f>ROUND(0/1000,0)</f>
        <v>0</v>
      </c>
      <c r="K93" s="232">
        <f>J93-I93</f>
        <v>0</v>
      </c>
      <c r="L93" s="234">
        <f>ROUND(J93/BS!$H$28*100,2)</f>
        <v>0</v>
      </c>
      <c r="M93" s="234"/>
      <c r="N93" s="234">
        <f>ROUND(J93/BS!$H$11*100,2)</f>
        <v>0</v>
      </c>
      <c r="O93" s="234">
        <f>'working for investmenst note'!H65*100</f>
        <v>0</v>
      </c>
    </row>
    <row r="94" spans="2:15" s="219" customFormat="1" ht="9" hidden="1">
      <c r="B94" s="235" t="s">
        <v>149</v>
      </c>
      <c r="C94" s="235"/>
      <c r="D94" s="229">
        <v>1737408</v>
      </c>
      <c r="E94" s="247">
        <v>0</v>
      </c>
      <c r="F94" s="247">
        <v>0</v>
      </c>
      <c r="G94" s="231">
        <v>500000</v>
      </c>
      <c r="H94" s="232">
        <f>D94+E94+F94-G94</f>
        <v>1237408</v>
      </c>
      <c r="I94" s="233">
        <f>ROUND(4108194.87337459/1000,0)</f>
        <v>4108</v>
      </c>
      <c r="J94" s="232">
        <f>ROUND(4578409.6/1000,0)</f>
        <v>4578</v>
      </c>
      <c r="K94" s="232">
        <f>J94-I94</f>
        <v>470</v>
      </c>
      <c r="L94" s="234">
        <f>ROUND(J94/BS!$H$28*100,2)</f>
        <v>0.06</v>
      </c>
      <c r="M94" s="234"/>
      <c r="N94" s="234">
        <f>ROUND(J94/BS!$H$11*100,2)</f>
        <v>0.06</v>
      </c>
      <c r="O94" s="234">
        <f>'working for investmenst note'!H66*100</f>
        <v>0.1437890982910775</v>
      </c>
    </row>
    <row r="95" spans="2:15" s="237" customFormat="1" ht="9" hidden="1">
      <c r="D95" s="333">
        <f t="shared" ref="D95:L95" si="10">SUM(D92:D94)</f>
        <v>6716910</v>
      </c>
      <c r="E95" s="333">
        <f t="shared" si="10"/>
        <v>0</v>
      </c>
      <c r="F95" s="333">
        <f t="shared" si="10"/>
        <v>0</v>
      </c>
      <c r="G95" s="333">
        <f t="shared" si="10"/>
        <v>618863</v>
      </c>
      <c r="H95" s="333">
        <f t="shared" si="10"/>
        <v>6098047</v>
      </c>
      <c r="I95" s="333">
        <f t="shared" si="10"/>
        <v>105987</v>
      </c>
      <c r="J95" s="333">
        <f>SUM(J92:J94)</f>
        <v>90368</v>
      </c>
      <c r="K95" s="333">
        <f>SUM(K92:K94)</f>
        <v>-15619</v>
      </c>
      <c r="L95" s="334">
        <f t="shared" si="10"/>
        <v>1.1000000000000001</v>
      </c>
      <c r="M95" s="333"/>
      <c r="N95" s="334">
        <f>SUM(N92:N94)</f>
        <v>1.1800000000000002</v>
      </c>
      <c r="O95" s="278"/>
    </row>
    <row r="96" spans="2:15" s="219" customFormat="1" ht="9" hidden="1">
      <c r="B96" s="240" t="s">
        <v>100</v>
      </c>
      <c r="C96" s="240"/>
      <c r="D96" s="229"/>
      <c r="E96" s="237"/>
      <c r="F96" s="233"/>
      <c r="G96" s="249"/>
      <c r="H96" s="250"/>
      <c r="I96" s="233"/>
      <c r="J96" s="250"/>
      <c r="K96" s="250"/>
      <c r="L96" s="251"/>
      <c r="M96" s="251"/>
      <c r="N96" s="251"/>
      <c r="O96" s="251"/>
    </row>
    <row r="97" spans="2:15" s="219" customFormat="1" ht="9" hidden="1">
      <c r="B97" s="244" t="s">
        <v>119</v>
      </c>
      <c r="C97" s="244"/>
      <c r="D97" s="229">
        <v>1404102</v>
      </c>
      <c r="E97" s="247">
        <v>0</v>
      </c>
      <c r="F97" s="247">
        <v>0</v>
      </c>
      <c r="G97" s="231">
        <v>0</v>
      </c>
      <c r="H97" s="232">
        <f>D97+E97+F97-G97</f>
        <v>1404102</v>
      </c>
      <c r="I97" s="233">
        <f>ROUND(218562517/1000,0)</f>
        <v>218563</v>
      </c>
      <c r="J97" s="232">
        <f>ROUND(257329773.54/1000,0)</f>
        <v>257330</v>
      </c>
      <c r="K97" s="232">
        <f>J97-I97</f>
        <v>38767</v>
      </c>
      <c r="L97" s="234">
        <f>ROUND(J97/BS!$H$28*100,2)</f>
        <v>3.13</v>
      </c>
      <c r="M97" s="234"/>
      <c r="N97" s="234">
        <f>ROUND(J97/BS!$H$11*100,2)+0.01</f>
        <v>3.34</v>
      </c>
      <c r="O97" s="234">
        <f>'working for investmenst note'!H69*100</f>
        <v>0.47126610000251723</v>
      </c>
    </row>
    <row r="98" spans="2:15" s="219" customFormat="1" ht="9" hidden="1">
      <c r="B98" s="235" t="s">
        <v>152</v>
      </c>
      <c r="C98" s="235"/>
      <c r="D98" s="229">
        <v>1535657</v>
      </c>
      <c r="E98" s="247">
        <v>0</v>
      </c>
      <c r="F98" s="247">
        <v>0</v>
      </c>
      <c r="G98" s="231">
        <v>0</v>
      </c>
      <c r="H98" s="232">
        <f>D98+E98+F98-G98</f>
        <v>1535657</v>
      </c>
      <c r="I98" s="233">
        <f>ROUND(33124121/1000,0)</f>
        <v>33124</v>
      </c>
      <c r="J98" s="232">
        <f>ROUND(40126717.41/1000,0)</f>
        <v>40127</v>
      </c>
      <c r="K98" s="232">
        <f>J98-I98</f>
        <v>7003</v>
      </c>
      <c r="L98" s="234">
        <f>ROUND(J98/BS!$H$28*100,2)</f>
        <v>0.49</v>
      </c>
      <c r="M98" s="234"/>
      <c r="N98" s="234">
        <f>ROUND(J98/BS!$H$11*100,2)</f>
        <v>0.52</v>
      </c>
      <c r="O98" s="234">
        <f>'working for investmenst note'!H70*100</f>
        <v>0.16439787605314149</v>
      </c>
    </row>
    <row r="99" spans="2:15" s="219" customFormat="1" ht="9" hidden="1">
      <c r="B99" s="235" t="s">
        <v>153</v>
      </c>
      <c r="C99" s="235"/>
      <c r="D99" s="229">
        <v>2737900</v>
      </c>
      <c r="E99" s="247">
        <v>0</v>
      </c>
      <c r="F99" s="247">
        <v>0</v>
      </c>
      <c r="G99" s="231">
        <v>0</v>
      </c>
      <c r="H99" s="232">
        <f>D99+E99+F99-G99</f>
        <v>2737900</v>
      </c>
      <c r="I99" s="233">
        <f>ROUND(276856448/1000,0)</f>
        <v>276856</v>
      </c>
      <c r="J99" s="232">
        <f>ROUND(281812047/1000,0)</f>
        <v>281812</v>
      </c>
      <c r="K99" s="232">
        <f>J99-I99</f>
        <v>4956</v>
      </c>
      <c r="L99" s="234">
        <f>ROUND(J99/BS!$H$28*100,2)</f>
        <v>3.43</v>
      </c>
      <c r="M99" s="234"/>
      <c r="N99" s="234">
        <f>ROUND(J99/BS!$H$11*100,2)</f>
        <v>3.65</v>
      </c>
      <c r="O99" s="234">
        <f>'working for investmenst note'!H71*100</f>
        <v>0.40350641905185791</v>
      </c>
    </row>
    <row r="100" spans="2:15" s="237" customFormat="1" ht="9" hidden="1">
      <c r="B100" s="240"/>
      <c r="C100" s="240"/>
      <c r="D100" s="333">
        <f t="shared" ref="D100:L100" si="11">SUM(D97:D99)</f>
        <v>5677659</v>
      </c>
      <c r="E100" s="333">
        <f t="shared" si="11"/>
        <v>0</v>
      </c>
      <c r="F100" s="333">
        <f t="shared" si="11"/>
        <v>0</v>
      </c>
      <c r="G100" s="333">
        <f t="shared" si="11"/>
        <v>0</v>
      </c>
      <c r="H100" s="333">
        <f t="shared" si="11"/>
        <v>5677659</v>
      </c>
      <c r="I100" s="333">
        <f t="shared" si="11"/>
        <v>528543</v>
      </c>
      <c r="J100" s="333">
        <f t="shared" si="11"/>
        <v>579269</v>
      </c>
      <c r="K100" s="333">
        <f>SUM(K97:K99)</f>
        <v>50726</v>
      </c>
      <c r="L100" s="334">
        <f t="shared" si="11"/>
        <v>7.0500000000000007</v>
      </c>
      <c r="M100" s="333"/>
      <c r="N100" s="334">
        <f>SUM(N97:N99)</f>
        <v>7.51</v>
      </c>
      <c r="O100" s="278"/>
    </row>
    <row r="101" spans="2:15" s="219" customFormat="1" ht="9" hidden="1">
      <c r="B101" s="227" t="s">
        <v>155</v>
      </c>
      <c r="C101" s="227"/>
      <c r="D101" s="229"/>
      <c r="E101" s="237"/>
      <c r="F101" s="233"/>
      <c r="G101" s="231"/>
      <c r="H101" s="232"/>
      <c r="I101" s="233"/>
      <c r="J101" s="232"/>
      <c r="K101" s="232"/>
      <c r="L101" s="234"/>
      <c r="M101" s="234"/>
      <c r="N101" s="234"/>
      <c r="O101" s="234"/>
    </row>
    <row r="102" spans="2:15" s="219" customFormat="1" ht="9" hidden="1">
      <c r="B102" s="235" t="s">
        <v>163</v>
      </c>
      <c r="C102" s="235"/>
      <c r="D102" s="229">
        <v>321224</v>
      </c>
      <c r="E102" s="247">
        <v>0</v>
      </c>
      <c r="F102" s="247">
        <v>0</v>
      </c>
      <c r="G102" s="231">
        <v>0</v>
      </c>
      <c r="H102" s="232">
        <f>D102+E102+F102-G102</f>
        <v>321224</v>
      </c>
      <c r="I102" s="233">
        <f>ROUND(54013816/1000,0)</f>
        <v>54014</v>
      </c>
      <c r="J102" s="232">
        <f>ROUND(54123031.76/1000,0)</f>
        <v>54123</v>
      </c>
      <c r="K102" s="232">
        <f>J102-I102</f>
        <v>109</v>
      </c>
      <c r="L102" s="234">
        <f>ROUND(J102/BS!$H$28*100,2)</f>
        <v>0.66</v>
      </c>
      <c r="M102" s="234"/>
      <c r="N102" s="234">
        <f>ROUND(J102/BS!$H$11*100,2)</f>
        <v>0.7</v>
      </c>
      <c r="O102" s="234">
        <f>'working for investmenst note'!H75*100</f>
        <v>0.2314255599510959</v>
      </c>
    </row>
    <row r="103" spans="2:15" s="219" customFormat="1" ht="9" hidden="1">
      <c r="B103" s="244" t="s">
        <v>97</v>
      </c>
      <c r="C103" s="244"/>
      <c r="D103" s="229">
        <v>253926</v>
      </c>
      <c r="E103" s="247">
        <v>0</v>
      </c>
      <c r="F103" s="247">
        <v>0</v>
      </c>
      <c r="G103" s="231">
        <v>253926</v>
      </c>
      <c r="H103" s="232">
        <f>D103+E103+F103-G103</f>
        <v>0</v>
      </c>
      <c r="I103" s="233">
        <f>ROUND(0/1000,0)</f>
        <v>0</v>
      </c>
      <c r="J103" s="232">
        <f>ROUND(0/1000,0)</f>
        <v>0</v>
      </c>
      <c r="K103" s="232">
        <f>J103-I103</f>
        <v>0</v>
      </c>
      <c r="L103" s="234">
        <f>ROUND(J103/BS!$H$28*100,2)</f>
        <v>0</v>
      </c>
      <c r="M103" s="234"/>
      <c r="N103" s="234">
        <f>ROUND(J103/BS!$H$11*100,2)</f>
        <v>0</v>
      </c>
      <c r="O103" s="234">
        <f>'working for investmenst note'!H74*100</f>
        <v>0</v>
      </c>
    </row>
    <row r="104" spans="2:15" s="237" customFormat="1" ht="9" hidden="1">
      <c r="D104" s="333">
        <f t="shared" ref="D104:J104" si="12">SUM(D102:D103)</f>
        <v>575150</v>
      </c>
      <c r="E104" s="333">
        <f t="shared" si="12"/>
        <v>0</v>
      </c>
      <c r="F104" s="333">
        <f t="shared" si="12"/>
        <v>0</v>
      </c>
      <c r="G104" s="333">
        <f t="shared" si="12"/>
        <v>253926</v>
      </c>
      <c r="H104" s="333">
        <f t="shared" si="12"/>
        <v>321224</v>
      </c>
      <c r="I104" s="333">
        <f t="shared" si="12"/>
        <v>54014</v>
      </c>
      <c r="J104" s="333">
        <f t="shared" si="12"/>
        <v>54123</v>
      </c>
      <c r="K104" s="333">
        <f>SUM(K102:K103)</f>
        <v>109</v>
      </c>
      <c r="L104" s="334">
        <f>SUM(L102:L103)</f>
        <v>0.66</v>
      </c>
      <c r="M104" s="333"/>
      <c r="N104" s="334">
        <f>SUM(N102:N103)</f>
        <v>0.7</v>
      </c>
      <c r="O104" s="278"/>
    </row>
    <row r="105" spans="2:15" s="219" customFormat="1" ht="9" hidden="1">
      <c r="B105" s="240" t="s">
        <v>157</v>
      </c>
      <c r="C105" s="240"/>
      <c r="D105" s="229"/>
      <c r="E105" s="237"/>
      <c r="F105" s="233"/>
      <c r="G105" s="249"/>
      <c r="H105" s="250"/>
      <c r="I105" s="233"/>
      <c r="J105" s="250"/>
      <c r="K105" s="250"/>
      <c r="L105" s="251"/>
      <c r="M105" s="251"/>
      <c r="N105" s="251"/>
      <c r="O105" s="251"/>
    </row>
    <row r="106" spans="2:15" s="219" customFormat="1" ht="9" hidden="1">
      <c r="B106" s="244" t="s">
        <v>156</v>
      </c>
      <c r="C106" s="244"/>
      <c r="D106" s="229">
        <v>10272</v>
      </c>
      <c r="E106" s="230">
        <v>0</v>
      </c>
      <c r="F106" s="230">
        <v>0</v>
      </c>
      <c r="G106" s="231">
        <v>10272</v>
      </c>
      <c r="H106" s="232">
        <f>D106+E106+F106-G106</f>
        <v>0</v>
      </c>
      <c r="I106" s="233">
        <f>ROUND(0/1000,0)</f>
        <v>0</v>
      </c>
      <c r="J106" s="232">
        <f>ROUND(0/1000,0)</f>
        <v>0</v>
      </c>
      <c r="K106" s="232">
        <f>J106-I106</f>
        <v>0</v>
      </c>
      <c r="L106" s="234">
        <f>ROUND(J106/BS!$H$28*100,2)</f>
        <v>0</v>
      </c>
      <c r="M106" s="234"/>
      <c r="N106" s="234">
        <f>ROUND(J106/BS!$H$11*100,2)</f>
        <v>0</v>
      </c>
      <c r="O106" s="234">
        <f>'working for investmenst note'!H78*100</f>
        <v>0</v>
      </c>
    </row>
    <row r="107" spans="2:15" s="237" customFormat="1" ht="9" hidden="1">
      <c r="D107" s="333">
        <f t="shared" ref="D107:M107" si="13">D106</f>
        <v>10272</v>
      </c>
      <c r="E107" s="333">
        <f t="shared" si="13"/>
        <v>0</v>
      </c>
      <c r="F107" s="333">
        <f t="shared" si="13"/>
        <v>0</v>
      </c>
      <c r="G107" s="333">
        <f t="shared" si="13"/>
        <v>10272</v>
      </c>
      <c r="H107" s="333">
        <f t="shared" si="13"/>
        <v>0</v>
      </c>
      <c r="I107" s="333">
        <f t="shared" si="13"/>
        <v>0</v>
      </c>
      <c r="J107" s="333">
        <f t="shared" si="13"/>
        <v>0</v>
      </c>
      <c r="K107" s="333">
        <f>K106</f>
        <v>0</v>
      </c>
      <c r="L107" s="333">
        <f>L106</f>
        <v>0</v>
      </c>
      <c r="M107" s="333">
        <f t="shared" si="13"/>
        <v>0</v>
      </c>
      <c r="N107" s="357">
        <f>N106</f>
        <v>0</v>
      </c>
      <c r="O107" s="278"/>
    </row>
    <row r="108" spans="2:15" s="219" customFormat="1" ht="9" hidden="1">
      <c r="B108" s="240" t="s">
        <v>159</v>
      </c>
      <c r="C108" s="240"/>
      <c r="D108" s="229"/>
      <c r="E108" s="237"/>
      <c r="F108" s="233"/>
      <c r="G108" s="249"/>
      <c r="H108" s="250"/>
      <c r="I108" s="233"/>
      <c r="J108" s="250"/>
      <c r="K108" s="250"/>
      <c r="L108" s="251"/>
      <c r="M108" s="251"/>
      <c r="N108" s="251"/>
      <c r="O108" s="251"/>
    </row>
    <row r="109" spans="2:15" s="219" customFormat="1" ht="9" hidden="1">
      <c r="B109" s="244" t="s">
        <v>367</v>
      </c>
      <c r="C109" s="240"/>
      <c r="D109" s="229"/>
      <c r="E109" s="237"/>
      <c r="F109" s="233"/>
      <c r="G109" s="249"/>
      <c r="H109" s="250"/>
      <c r="I109" s="233"/>
      <c r="J109" s="250"/>
      <c r="K109" s="250"/>
      <c r="L109" s="251"/>
      <c r="M109" s="251"/>
      <c r="N109" s="251"/>
      <c r="O109" s="251"/>
    </row>
    <row r="110" spans="2:15" s="219" customFormat="1" ht="9" hidden="1">
      <c r="B110" s="298" t="s">
        <v>368</v>
      </c>
      <c r="C110" s="244"/>
      <c r="D110" s="229">
        <v>12735</v>
      </c>
      <c r="E110" s="230">
        <v>0</v>
      </c>
      <c r="F110" s="233">
        <v>2547</v>
      </c>
      <c r="G110" s="231">
        <v>10468</v>
      </c>
      <c r="H110" s="232">
        <f>D110+E110+F110-G110</f>
        <v>4814</v>
      </c>
      <c r="I110" s="233">
        <f>ROUND(400444.661170004/1000,0)</f>
        <v>400</v>
      </c>
      <c r="J110" s="232">
        <f>ROUND(477115.54/1000,0)</f>
        <v>477</v>
      </c>
      <c r="K110" s="232">
        <f>J110-I110</f>
        <v>77</v>
      </c>
      <c r="L110" s="234">
        <f>ROUND(J110/BS!$H$28*100,2)</f>
        <v>0.01</v>
      </c>
      <c r="M110" s="234"/>
      <c r="N110" s="234">
        <f>ROUND(J110/BS!$H$11*100,2)</f>
        <v>0.01</v>
      </c>
      <c r="O110" s="234">
        <f>'working for investmenst note'!H81*100</f>
        <v>4.4103150434435271E-3</v>
      </c>
    </row>
    <row r="111" spans="2:15" s="237" customFormat="1" ht="9" hidden="1">
      <c r="D111" s="333">
        <f t="shared" ref="D111:L111" si="14">SUM(D110)</f>
        <v>12735</v>
      </c>
      <c r="E111" s="333">
        <f t="shared" si="14"/>
        <v>0</v>
      </c>
      <c r="F111" s="333">
        <f t="shared" si="14"/>
        <v>2547</v>
      </c>
      <c r="G111" s="333">
        <f t="shared" si="14"/>
        <v>10468</v>
      </c>
      <c r="H111" s="333">
        <f t="shared" si="14"/>
        <v>4814</v>
      </c>
      <c r="I111" s="333">
        <f t="shared" si="14"/>
        <v>400</v>
      </c>
      <c r="J111" s="333">
        <f t="shared" si="14"/>
        <v>477</v>
      </c>
      <c r="K111" s="333">
        <f>SUM(K110)</f>
        <v>77</v>
      </c>
      <c r="L111" s="334">
        <f t="shared" si="14"/>
        <v>0.01</v>
      </c>
      <c r="M111" s="333"/>
      <c r="N111" s="334">
        <f>SUM(N110)</f>
        <v>0.01</v>
      </c>
      <c r="O111" s="278"/>
    </row>
    <row r="112" spans="2:15" s="219" customFormat="1" ht="9" hidden="1">
      <c r="B112" s="240" t="s">
        <v>162</v>
      </c>
      <c r="C112" s="240"/>
      <c r="D112" s="229"/>
      <c r="E112" s="237"/>
      <c r="F112" s="233"/>
      <c r="G112" s="249"/>
      <c r="H112" s="250"/>
      <c r="I112" s="233"/>
      <c r="J112" s="250"/>
      <c r="K112" s="250"/>
      <c r="L112" s="251"/>
      <c r="M112" s="251"/>
      <c r="N112" s="251"/>
      <c r="O112" s="251"/>
    </row>
    <row r="113" spans="1:19" s="219" customFormat="1" ht="9" hidden="1">
      <c r="B113" s="241" t="s">
        <v>161</v>
      </c>
      <c r="C113" s="241"/>
      <c r="D113" s="229">
        <v>24211</v>
      </c>
      <c r="E113" s="230">
        <v>0</v>
      </c>
      <c r="F113" s="230">
        <v>0</v>
      </c>
      <c r="G113" s="231">
        <v>2729</v>
      </c>
      <c r="H113" s="232">
        <f>D113+E113+F113-G113</f>
        <v>21482</v>
      </c>
      <c r="I113" s="233">
        <f>ROUND(3394156/1000,0)</f>
        <v>3394</v>
      </c>
      <c r="J113" s="232">
        <f>ROUND(3093408/1000,0)</f>
        <v>3093</v>
      </c>
      <c r="K113" s="232">
        <f>J113-I113</f>
        <v>-301</v>
      </c>
      <c r="L113" s="234">
        <f>ROUND(J113/BS!$H$28*100,2)</f>
        <v>0.04</v>
      </c>
      <c r="M113" s="234"/>
      <c r="N113" s="234">
        <f>ROUND(J113/BS!$H$11*100,2)</f>
        <v>0.04</v>
      </c>
      <c r="O113" s="234">
        <f>'working for investmenst note'!H84*100</f>
        <v>2.5458790345996359E-2</v>
      </c>
    </row>
    <row r="114" spans="1:19" s="237" customFormat="1" ht="9" hidden="1">
      <c r="D114" s="333">
        <f t="shared" ref="D114:J114" si="15">SUM(D113)</f>
        <v>24211</v>
      </c>
      <c r="E114" s="333">
        <f t="shared" si="15"/>
        <v>0</v>
      </c>
      <c r="F114" s="333">
        <f t="shared" si="15"/>
        <v>0</v>
      </c>
      <c r="G114" s="333">
        <f t="shared" si="15"/>
        <v>2729</v>
      </c>
      <c r="H114" s="333">
        <f t="shared" si="15"/>
        <v>21482</v>
      </c>
      <c r="I114" s="333">
        <f t="shared" si="15"/>
        <v>3394</v>
      </c>
      <c r="J114" s="333">
        <f t="shared" si="15"/>
        <v>3093</v>
      </c>
      <c r="K114" s="333">
        <f>SUM(K113)</f>
        <v>-301</v>
      </c>
      <c r="L114" s="334">
        <f>SUM(L113)</f>
        <v>0.04</v>
      </c>
      <c r="M114" s="333"/>
      <c r="N114" s="334">
        <f>SUM(N113)</f>
        <v>0.04</v>
      </c>
      <c r="O114" s="278"/>
      <c r="Q114" s="341">
        <f>N116-100</f>
        <v>-43.78</v>
      </c>
    </row>
    <row r="115" spans="1:19" s="237" customFormat="1" ht="9" hidden="1">
      <c r="D115" s="333"/>
      <c r="E115" s="333"/>
      <c r="F115" s="333"/>
      <c r="G115" s="333"/>
      <c r="H115" s="333"/>
      <c r="I115" s="333"/>
      <c r="J115" s="333"/>
      <c r="K115" s="333"/>
      <c r="L115" s="333"/>
      <c r="M115" s="333"/>
      <c r="N115" s="334"/>
      <c r="O115" s="278"/>
      <c r="Q115" s="341"/>
    </row>
    <row r="116" spans="1:19" s="237" customFormat="1" ht="9" hidden="1">
      <c r="B116" s="243" t="s">
        <v>120</v>
      </c>
      <c r="C116" s="243"/>
      <c r="D116" s="333">
        <f t="shared" ref="D116:N116" si="16">D40+D46+D51+D59+D66+D71+D83+D89+D95+D100+D104+D107+D111+D114</f>
        <v>72068857</v>
      </c>
      <c r="E116" s="333">
        <f t="shared" si="16"/>
        <v>0</v>
      </c>
      <c r="F116" s="333">
        <f t="shared" si="16"/>
        <v>668384</v>
      </c>
      <c r="G116" s="333">
        <f t="shared" si="16"/>
        <v>13874873</v>
      </c>
      <c r="H116" s="333">
        <f t="shared" si="16"/>
        <v>58862368</v>
      </c>
      <c r="I116" s="333">
        <f t="shared" si="16"/>
        <v>4353802</v>
      </c>
      <c r="J116" s="333">
        <f t="shared" si="16"/>
        <v>4343876</v>
      </c>
      <c r="K116" s="333">
        <f t="shared" si="16"/>
        <v>-9926</v>
      </c>
      <c r="L116" s="334">
        <f t="shared" si="16"/>
        <v>52.8</v>
      </c>
      <c r="M116" s="333">
        <f t="shared" si="16"/>
        <v>0</v>
      </c>
      <c r="N116" s="334">
        <f t="shared" si="16"/>
        <v>56.22</v>
      </c>
      <c r="O116" s="355"/>
      <c r="P116" s="358">
        <f>ROUND(BS!H11/BS!H28*100,2)</f>
        <v>93.96</v>
      </c>
      <c r="Q116" s="342">
        <f>ROUND(BS!H11/BS!H11*100,2)</f>
        <v>100</v>
      </c>
    </row>
    <row r="117" spans="1:19" ht="9" hidden="1" customHeight="1">
      <c r="B117" s="195"/>
      <c r="C117" s="195"/>
      <c r="D117" s="195"/>
      <c r="E117" s="195"/>
      <c r="F117" s="193"/>
      <c r="G117" s="193"/>
      <c r="H117" s="193"/>
      <c r="I117" s="190"/>
      <c r="J117" s="190"/>
      <c r="K117" s="190"/>
      <c r="L117" s="201"/>
      <c r="M117" s="201"/>
      <c r="N117" s="201"/>
      <c r="P117" s="290"/>
    </row>
    <row r="118" spans="1:19">
      <c r="A118" s="205" t="e">
        <f>+A15+0.1</f>
        <v>#REF!</v>
      </c>
      <c r="B118" s="920" t="s">
        <v>129</v>
      </c>
      <c r="C118" s="920"/>
      <c r="D118" s="920"/>
      <c r="E118" s="920"/>
      <c r="F118" s="920"/>
      <c r="G118" s="920"/>
      <c r="H118" s="920"/>
      <c r="I118" s="920"/>
      <c r="J118" s="920"/>
      <c r="K118" s="920"/>
      <c r="L118" s="920"/>
      <c r="M118" s="920"/>
      <c r="N118" s="920"/>
      <c r="O118" s="920"/>
      <c r="Q118" s="193">
        <f>I116-3985231</f>
        <v>368571</v>
      </c>
      <c r="R118" s="193">
        <f>Q118-358647</f>
        <v>9924</v>
      </c>
      <c r="S118" s="193"/>
    </row>
    <row r="119" spans="1:19">
      <c r="A119" s="205"/>
      <c r="B119" s="920"/>
      <c r="C119" s="920"/>
      <c r="D119" s="920"/>
      <c r="E119" s="920"/>
      <c r="F119" s="920"/>
      <c r="G119" s="920"/>
      <c r="H119" s="920"/>
      <c r="I119" s="920"/>
      <c r="J119" s="920"/>
      <c r="K119" s="920"/>
      <c r="L119" s="920"/>
      <c r="M119" s="920"/>
      <c r="N119" s="920"/>
      <c r="O119" s="920"/>
      <c r="Q119" s="193"/>
      <c r="R119" s="193"/>
      <c r="S119" s="193"/>
    </row>
    <row r="120" spans="1:19">
      <c r="A120" s="205"/>
      <c r="B120" s="920"/>
      <c r="C120" s="920"/>
      <c r="D120" s="920"/>
      <c r="E120" s="920"/>
      <c r="F120" s="920"/>
      <c r="G120" s="920"/>
      <c r="H120" s="920"/>
      <c r="I120" s="920"/>
      <c r="J120" s="920"/>
      <c r="K120" s="920"/>
      <c r="L120" s="920"/>
      <c r="M120" s="920"/>
      <c r="N120" s="920"/>
      <c r="O120" s="920"/>
    </row>
    <row r="121" spans="1:19" ht="9" customHeight="1">
      <c r="A121" s="205"/>
      <c r="E121" s="202"/>
      <c r="K121" s="203"/>
      <c r="O121" s="195"/>
    </row>
    <row r="122" spans="1:19">
      <c r="E122" s="202"/>
      <c r="I122" s="190"/>
      <c r="K122" s="190"/>
      <c r="N122" s="253" t="s">
        <v>358</v>
      </c>
      <c r="O122" s="269"/>
      <c r="P122" s="202">
        <v>191596</v>
      </c>
    </row>
    <row r="123" spans="1:19">
      <c r="E123" s="202"/>
      <c r="I123" s="190"/>
      <c r="K123" s="190"/>
      <c r="N123" s="339" t="s">
        <v>271</v>
      </c>
      <c r="O123" s="269"/>
      <c r="P123" s="202"/>
    </row>
    <row r="124" spans="1:19">
      <c r="A124" s="205" t="e">
        <f>+A118+0.1</f>
        <v>#REF!</v>
      </c>
      <c r="B124" s="204" t="s">
        <v>173</v>
      </c>
      <c r="E124" s="202"/>
      <c r="K124" s="190"/>
      <c r="N124" s="256" t="s">
        <v>202</v>
      </c>
      <c r="O124" s="269"/>
    </row>
    <row r="125" spans="1:19" ht="9" customHeight="1">
      <c r="E125" s="202"/>
      <c r="K125" s="190"/>
      <c r="N125" s="256"/>
      <c r="O125" s="269"/>
    </row>
    <row r="126" spans="1:19">
      <c r="B126" s="190" t="s">
        <v>277</v>
      </c>
      <c r="E126" s="202"/>
      <c r="K126" s="190"/>
      <c r="N126" s="285">
        <f>4453557.303</f>
        <v>4453557.3030000003</v>
      </c>
      <c r="O126" s="269"/>
    </row>
    <row r="127" spans="1:19">
      <c r="B127" s="190" t="s">
        <v>130</v>
      </c>
      <c r="E127" s="202"/>
      <c r="K127" s="190"/>
      <c r="N127" s="286">
        <f>4118281.262</f>
        <v>4118281.2620000001</v>
      </c>
      <c r="O127" s="269"/>
    </row>
    <row r="128" spans="1:19">
      <c r="E128" s="202"/>
      <c r="K128" s="190"/>
      <c r="N128" s="287">
        <f>N126-N127</f>
        <v>335276.0410000002</v>
      </c>
      <c r="O128" s="295"/>
    </row>
    <row r="129" spans="1:17">
      <c r="B129" s="190" t="s">
        <v>101</v>
      </c>
      <c r="E129" s="202"/>
      <c r="K129" s="190"/>
      <c r="N129" s="281"/>
      <c r="O129" s="296"/>
    </row>
    <row r="130" spans="1:17">
      <c r="B130" s="283" t="s">
        <v>345</v>
      </c>
      <c r="E130" s="202"/>
      <c r="K130" s="190"/>
      <c r="N130" s="275">
        <v>0</v>
      </c>
      <c r="O130" s="269"/>
      <c r="Q130" s="289">
        <f>J116/BS!H28</f>
        <v>0.52809525048404038</v>
      </c>
    </row>
    <row r="131" spans="1:17" ht="12.75" thickBot="1">
      <c r="E131" s="202"/>
      <c r="K131" s="190"/>
      <c r="N131" s="288">
        <f>N128+N130</f>
        <v>335276.0410000002</v>
      </c>
      <c r="O131" s="297"/>
      <c r="Q131" s="291">
        <f>J116/BS!H11</f>
        <v>0.56206644503398695</v>
      </c>
    </row>
    <row r="132" spans="1:17" ht="9" customHeight="1" thickTop="1">
      <c r="E132" s="202"/>
      <c r="K132" s="190"/>
      <c r="N132" s="337"/>
      <c r="O132" s="296"/>
      <c r="Q132" s="291"/>
    </row>
    <row r="133" spans="1:17">
      <c r="A133" s="205" t="e">
        <f>+A124+0.1</f>
        <v>#REF!</v>
      </c>
      <c r="B133" s="204" t="s">
        <v>127</v>
      </c>
      <c r="E133" s="202"/>
      <c r="K133" s="190"/>
      <c r="N133" s="337"/>
      <c r="O133" s="296"/>
      <c r="Q133" s="291"/>
    </row>
    <row r="134" spans="1:17" ht="9" customHeight="1">
      <c r="E134" s="202"/>
      <c r="K134" s="190"/>
      <c r="N134" s="337"/>
      <c r="O134" s="296"/>
      <c r="Q134" s="291"/>
    </row>
    <row r="135" spans="1:17">
      <c r="B135" s="919" t="s">
        <v>346</v>
      </c>
      <c r="C135" s="919"/>
      <c r="D135" s="919"/>
      <c r="E135" s="919"/>
      <c r="F135" s="919"/>
      <c r="G135" s="919"/>
      <c r="H135" s="919"/>
      <c r="I135" s="919"/>
      <c r="J135" s="919"/>
      <c r="K135" s="919"/>
      <c r="L135" s="919"/>
      <c r="M135" s="919"/>
      <c r="N135" s="919"/>
      <c r="O135" s="919"/>
      <c r="Q135" s="291"/>
    </row>
    <row r="136" spans="1:17">
      <c r="B136" s="919"/>
      <c r="C136" s="919"/>
      <c r="D136" s="919"/>
      <c r="E136" s="919"/>
      <c r="F136" s="919"/>
      <c r="G136" s="919"/>
      <c r="H136" s="919"/>
      <c r="I136" s="919"/>
      <c r="J136" s="919"/>
      <c r="K136" s="919"/>
      <c r="L136" s="919"/>
      <c r="M136" s="919"/>
      <c r="N136" s="919"/>
      <c r="O136" s="919"/>
      <c r="Q136" s="291"/>
    </row>
    <row r="137" spans="1:17">
      <c r="B137" s="919"/>
      <c r="C137" s="919"/>
      <c r="D137" s="919"/>
      <c r="E137" s="919"/>
      <c r="F137" s="919"/>
      <c r="G137" s="919"/>
      <c r="H137" s="919"/>
      <c r="I137" s="919"/>
      <c r="J137" s="919"/>
      <c r="K137" s="919"/>
      <c r="L137" s="919"/>
      <c r="M137" s="919"/>
      <c r="N137" s="919"/>
      <c r="O137" s="919"/>
      <c r="Q137" s="291"/>
    </row>
    <row r="138" spans="1:17">
      <c r="B138" s="919"/>
      <c r="C138" s="919"/>
      <c r="D138" s="919"/>
      <c r="E138" s="919"/>
      <c r="F138" s="919"/>
      <c r="G138" s="919"/>
      <c r="H138" s="919"/>
      <c r="I138" s="919"/>
      <c r="J138" s="919"/>
      <c r="K138" s="919"/>
      <c r="L138" s="919"/>
      <c r="M138" s="919"/>
      <c r="N138" s="919"/>
      <c r="O138" s="919"/>
      <c r="Q138" s="291"/>
    </row>
    <row r="139" spans="1:17" ht="9" customHeight="1">
      <c r="E139" s="202"/>
      <c r="K139" s="190"/>
      <c r="N139" s="337"/>
      <c r="O139" s="296"/>
      <c r="Q139" s="291"/>
    </row>
    <row r="140" spans="1:17" ht="3.75" customHeight="1">
      <c r="A140" s="108"/>
      <c r="B140" s="96"/>
      <c r="C140" s="96"/>
      <c r="D140" s="152"/>
      <c r="E140" s="97"/>
      <c r="F140" s="97"/>
      <c r="G140" s="206"/>
      <c r="H140" s="98"/>
    </row>
    <row r="141" spans="1:17">
      <c r="A141" s="205" t="e">
        <f>A15+1</f>
        <v>#REF!</v>
      </c>
      <c r="B141" s="204" t="s">
        <v>121</v>
      </c>
      <c r="C141" s="204"/>
      <c r="E141" s="202"/>
    </row>
    <row r="142" spans="1:17" ht="8.25" customHeight="1"/>
    <row r="143" spans="1:17" ht="24.75" customHeight="1">
      <c r="A143" s="217"/>
      <c r="B143" s="919" t="s">
        <v>359</v>
      </c>
      <c r="C143" s="919"/>
      <c r="D143" s="919"/>
      <c r="E143" s="919"/>
      <c r="F143" s="919"/>
      <c r="G143" s="919"/>
      <c r="H143" s="919"/>
      <c r="I143" s="919" t="s">
        <v>359</v>
      </c>
      <c r="J143" s="919"/>
      <c r="K143" s="919"/>
      <c r="L143" s="919"/>
      <c r="M143" s="919"/>
      <c r="N143" s="919"/>
      <c r="O143" s="919"/>
    </row>
    <row r="144" spans="1:17" ht="11.25" customHeight="1">
      <c r="A144" s="217"/>
      <c r="B144" s="919"/>
      <c r="C144" s="919"/>
      <c r="D144" s="919"/>
      <c r="E144" s="919"/>
      <c r="F144" s="919"/>
      <c r="G144" s="919"/>
      <c r="H144" s="919"/>
      <c r="I144" s="919"/>
      <c r="J144" s="919"/>
      <c r="K144" s="919"/>
      <c r="L144" s="919"/>
      <c r="M144" s="919"/>
      <c r="N144" s="919"/>
      <c r="O144" s="919"/>
    </row>
    <row r="145" spans="1:15">
      <c r="A145" s="153" t="e">
        <f>A141+1</f>
        <v>#REF!</v>
      </c>
      <c r="B145" s="919" t="s">
        <v>356</v>
      </c>
      <c r="C145" s="919"/>
      <c r="D145" s="919"/>
      <c r="E145" s="919"/>
      <c r="F145" s="919"/>
      <c r="G145" s="919"/>
      <c r="H145" s="919"/>
      <c r="I145" s="919"/>
      <c r="J145" s="919"/>
      <c r="K145" s="919"/>
      <c r="L145" s="919"/>
      <c r="M145" s="919"/>
      <c r="N145" s="919"/>
      <c r="O145" s="919"/>
    </row>
    <row r="146" spans="1:15">
      <c r="A146" s="153"/>
      <c r="B146" s="919"/>
      <c r="C146" s="919"/>
      <c r="D146" s="919"/>
      <c r="E146" s="919"/>
      <c r="F146" s="919"/>
      <c r="G146" s="919"/>
      <c r="H146" s="919"/>
      <c r="I146" s="919"/>
      <c r="J146" s="919"/>
      <c r="K146" s="919"/>
      <c r="L146" s="919"/>
      <c r="M146" s="919"/>
      <c r="N146" s="919"/>
      <c r="O146" s="919"/>
    </row>
    <row r="147" spans="1:15">
      <c r="B147" s="919"/>
      <c r="C147" s="919"/>
      <c r="D147" s="919"/>
      <c r="E147" s="919"/>
      <c r="F147" s="919"/>
      <c r="G147" s="919"/>
      <c r="H147" s="919"/>
      <c r="I147" s="919"/>
      <c r="J147" s="919"/>
      <c r="K147" s="919"/>
      <c r="L147" s="919"/>
      <c r="M147" s="919"/>
      <c r="N147" s="919"/>
      <c r="O147" s="919"/>
    </row>
    <row r="148" spans="1:15" ht="4.5" customHeight="1">
      <c r="B148" s="919" t="s">
        <v>51</v>
      </c>
      <c r="C148" s="919"/>
      <c r="D148" s="919"/>
      <c r="E148" s="919"/>
      <c r="F148" s="919"/>
      <c r="G148" s="919"/>
      <c r="H148" s="919"/>
      <c r="I148" s="919"/>
      <c r="J148" s="919"/>
      <c r="K148" s="919"/>
      <c r="L148" s="919"/>
      <c r="M148" s="919"/>
      <c r="N148" s="919"/>
      <c r="O148" s="919"/>
    </row>
    <row r="149" spans="1:15" ht="15" customHeight="1">
      <c r="A149" s="153" t="e">
        <f>+A145+1</f>
        <v>#REF!</v>
      </c>
      <c r="B149" s="114" t="s">
        <v>51</v>
      </c>
      <c r="C149" s="96"/>
      <c r="D149" s="152"/>
      <c r="E149" s="97"/>
      <c r="F149" s="97"/>
      <c r="G149" s="206"/>
      <c r="H149" s="98"/>
    </row>
    <row r="150" spans="1:15">
      <c r="A150" s="336"/>
      <c r="B150" s="919" t="s">
        <v>254</v>
      </c>
      <c r="C150" s="919"/>
      <c r="D150" s="919"/>
      <c r="E150" s="919"/>
      <c r="F150" s="919"/>
      <c r="G150" s="919"/>
      <c r="H150" s="919"/>
      <c r="I150" s="919"/>
      <c r="J150" s="919"/>
      <c r="K150" s="919"/>
      <c r="L150" s="919"/>
      <c r="M150" s="919"/>
      <c r="N150" s="919"/>
      <c r="O150" s="919"/>
    </row>
    <row r="151" spans="1:15">
      <c r="A151" s="336"/>
      <c r="B151" s="919"/>
      <c r="C151" s="919"/>
      <c r="D151" s="919"/>
      <c r="E151" s="919"/>
      <c r="F151" s="919"/>
      <c r="G151" s="919"/>
      <c r="H151" s="919"/>
      <c r="I151" s="919"/>
      <c r="J151" s="919"/>
      <c r="K151" s="919"/>
      <c r="L151" s="919"/>
      <c r="M151" s="919"/>
      <c r="N151" s="919"/>
      <c r="O151" s="919"/>
    </row>
    <row r="152" spans="1:15">
      <c r="A152" s="336"/>
      <c r="B152" s="919"/>
      <c r="C152" s="919"/>
      <c r="D152" s="919"/>
      <c r="E152" s="919"/>
      <c r="F152" s="919"/>
      <c r="G152" s="919"/>
      <c r="H152" s="919"/>
      <c r="I152" s="919"/>
      <c r="J152" s="919"/>
      <c r="K152" s="919"/>
      <c r="L152" s="919"/>
      <c r="M152" s="919"/>
      <c r="N152" s="919"/>
      <c r="O152" s="919"/>
    </row>
    <row r="153" spans="1:15">
      <c r="A153" s="336"/>
      <c r="B153" s="919"/>
      <c r="C153" s="919"/>
      <c r="D153" s="919"/>
      <c r="E153" s="919"/>
      <c r="F153" s="919"/>
      <c r="G153" s="919"/>
      <c r="H153" s="919"/>
      <c r="I153" s="919"/>
      <c r="J153" s="919"/>
      <c r="K153" s="919"/>
      <c r="L153" s="919"/>
      <c r="M153" s="919"/>
      <c r="N153" s="919"/>
      <c r="O153" s="919"/>
    </row>
    <row r="154" spans="1:15">
      <c r="A154" s="336"/>
      <c r="B154" s="168"/>
      <c r="C154" s="168"/>
      <c r="D154" s="168"/>
      <c r="E154" s="168"/>
      <c r="F154" s="168"/>
      <c r="G154" s="168"/>
      <c r="H154" s="168"/>
    </row>
  </sheetData>
  <mergeCells count="19">
    <mergeCell ref="D75:H75"/>
    <mergeCell ref="I75:K75"/>
    <mergeCell ref="I77:K77"/>
    <mergeCell ref="B143:O144"/>
    <mergeCell ref="B145:O148"/>
    <mergeCell ref="B150:O153"/>
    <mergeCell ref="B135:O138"/>
    <mergeCell ref="B4:O5"/>
    <mergeCell ref="C9:O10"/>
    <mergeCell ref="B118:O120"/>
    <mergeCell ref="L76:M76"/>
    <mergeCell ref="B22:C23"/>
    <mergeCell ref="L23:M23"/>
    <mergeCell ref="D22:H22"/>
    <mergeCell ref="I22:K22"/>
    <mergeCell ref="L75:O75"/>
    <mergeCell ref="L22:O22"/>
    <mergeCell ref="I24:K24"/>
    <mergeCell ref="B75:C76"/>
  </mergeCells>
  <phoneticPr fontId="11" type="noConversion"/>
  <printOptions horizontalCentered="1"/>
  <pageMargins left="0.75" right="0.5" top="0.5" bottom="0.25" header="0.3" footer="0.3"/>
  <pageSetup paperSize="9" orientation="portrait" r:id="rId1"/>
  <headerFooter alignWithMargins="0">
    <oddFooter>&amp;C8/9</oddFooter>
  </headerFooter>
  <rowBreaks count="1" manualBreakCount="1">
    <brk id="72" max="1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92"/>
  <sheetViews>
    <sheetView workbookViewId="0"/>
  </sheetViews>
  <sheetFormatPr defaultColWidth="10.25" defaultRowHeight="12"/>
  <cols>
    <col min="1" max="1" width="4.625" style="124" customWidth="1"/>
    <col min="2" max="2" width="3.625" style="123" customWidth="1"/>
    <col min="3" max="3" width="30.375" style="123" customWidth="1"/>
    <col min="4" max="4" width="4.25" style="155" customWidth="1"/>
    <col min="5" max="5" width="5.625" style="39" customWidth="1"/>
    <col min="6" max="6" width="16" style="18" customWidth="1"/>
    <col min="7" max="7" width="1.625" style="21" customWidth="1"/>
    <col min="8" max="8" width="17.75" style="123" customWidth="1"/>
    <col min="9" max="9" width="11.75" style="123" bestFit="1" customWidth="1"/>
    <col min="10" max="16384" width="10.25" style="123"/>
  </cols>
  <sheetData>
    <row r="1" spans="1:8">
      <c r="A1" s="153"/>
      <c r="B1" s="122"/>
      <c r="D1" s="123"/>
      <c r="E1" s="208"/>
      <c r="F1" s="935" t="s">
        <v>348</v>
      </c>
      <c r="G1" s="210"/>
      <c r="H1" s="935" t="s">
        <v>349</v>
      </c>
    </row>
    <row r="2" spans="1:8">
      <c r="A2" s="153"/>
      <c r="B2" s="122"/>
      <c r="D2" s="123"/>
      <c r="E2" s="208"/>
      <c r="F2" s="935"/>
      <c r="G2" s="210"/>
      <c r="H2" s="935"/>
    </row>
    <row r="3" spans="1:8">
      <c r="A3" s="153"/>
      <c r="B3" s="122"/>
      <c r="D3" s="123"/>
      <c r="E3" s="208"/>
      <c r="F3" s="935"/>
      <c r="G3" s="210"/>
      <c r="H3" s="935"/>
    </row>
    <row r="4" spans="1:8">
      <c r="A4" s="153"/>
      <c r="B4" s="122"/>
      <c r="D4" s="123"/>
      <c r="E4" s="208"/>
      <c r="F4" s="935"/>
      <c r="G4" s="210"/>
      <c r="H4" s="935"/>
    </row>
    <row r="5" spans="1:8">
      <c r="A5" s="153"/>
      <c r="B5" s="122"/>
      <c r="D5" s="123"/>
      <c r="E5" s="211"/>
      <c r="F5" s="339" t="s">
        <v>271</v>
      </c>
      <c r="G5" s="340"/>
      <c r="H5" s="340"/>
    </row>
    <row r="6" spans="1:8">
      <c r="A6" s="153" t="e">
        <f>'Notes 3.10-4.3'!A149+1</f>
        <v>#REF!</v>
      </c>
      <c r="B6" s="122" t="s">
        <v>54</v>
      </c>
      <c r="D6" s="123"/>
      <c r="E6" s="123"/>
      <c r="F6" s="934" t="s">
        <v>202</v>
      </c>
      <c r="G6" s="934"/>
      <c r="H6" s="934"/>
    </row>
    <row r="7" spans="1:8" ht="8.1" customHeight="1">
      <c r="A7" s="153"/>
      <c r="B7" s="122"/>
      <c r="D7" s="123"/>
      <c r="E7" s="154"/>
      <c r="F7" s="123"/>
      <c r="G7" s="164"/>
      <c r="H7" s="155"/>
    </row>
    <row r="8" spans="1:8" ht="12.75" thickBot="1">
      <c r="A8" s="99"/>
      <c r="B8" s="98" t="s">
        <v>265</v>
      </c>
      <c r="C8" s="98"/>
      <c r="D8" s="100"/>
      <c r="E8" s="101"/>
      <c r="F8" s="24">
        <f>IS!E47</f>
        <v>91088</v>
      </c>
      <c r="H8" s="24">
        <f>IS!G47</f>
        <v>69092</v>
      </c>
    </row>
    <row r="9" spans="1:8" ht="8.1" customHeight="1" thickTop="1">
      <c r="A9" s="99"/>
      <c r="B9" s="98"/>
      <c r="C9" s="98"/>
      <c r="D9" s="100"/>
      <c r="E9" s="101"/>
      <c r="H9" s="155"/>
    </row>
    <row r="10" spans="1:8">
      <c r="A10" s="99"/>
      <c r="B10" s="98"/>
      <c r="C10" s="98"/>
      <c r="D10" s="100"/>
      <c r="E10" s="101"/>
      <c r="F10" s="177" t="s">
        <v>248</v>
      </c>
      <c r="G10" s="213"/>
      <c r="H10" s="177"/>
    </row>
    <row r="11" spans="1:8" ht="8.1" customHeight="1">
      <c r="A11" s="99"/>
      <c r="B11" s="98"/>
      <c r="C11" s="98"/>
      <c r="D11" s="100"/>
      <c r="E11" s="101"/>
      <c r="H11" s="155"/>
    </row>
    <row r="12" spans="1:8" ht="12.75" thickBot="1">
      <c r="A12" s="99"/>
      <c r="B12" s="98" t="s">
        <v>128</v>
      </c>
      <c r="C12" s="98"/>
      <c r="D12" s="100"/>
      <c r="E12" s="101"/>
      <c r="F12" s="214">
        <v>56308303</v>
      </c>
      <c r="G12" s="36"/>
      <c r="H12" s="214">
        <v>55597582</v>
      </c>
    </row>
    <row r="13" spans="1:8" ht="8.1" customHeight="1" thickTop="1">
      <c r="A13" s="99"/>
      <c r="B13" s="98"/>
      <c r="C13" s="98"/>
      <c r="D13" s="100"/>
      <c r="E13" s="101"/>
      <c r="H13" s="155"/>
    </row>
    <row r="14" spans="1:8">
      <c r="A14" s="99"/>
      <c r="B14" s="98"/>
      <c r="C14" s="98"/>
      <c r="D14" s="100"/>
      <c r="E14" s="101"/>
      <c r="F14" s="936" t="s">
        <v>281</v>
      </c>
      <c r="G14" s="936"/>
      <c r="H14" s="936"/>
    </row>
    <row r="15" spans="1:8" ht="8.1" customHeight="1">
      <c r="A15" s="99"/>
      <c r="B15" s="98"/>
      <c r="C15" s="98"/>
      <c r="D15" s="100"/>
      <c r="E15" s="101"/>
      <c r="H15" s="155"/>
    </row>
    <row r="16" spans="1:8" ht="12.75" thickBot="1">
      <c r="A16" s="99"/>
      <c r="B16" s="98" t="s">
        <v>189</v>
      </c>
      <c r="C16" s="98"/>
      <c r="D16" s="100"/>
      <c r="E16" s="101"/>
      <c r="F16" s="102">
        <f>ROUND(F8*1000/F12,2)</f>
        <v>1.62</v>
      </c>
      <c r="G16" s="103"/>
      <c r="H16" s="102">
        <f>ROUND(H8*1000/H12,2)</f>
        <v>1.24</v>
      </c>
    </row>
    <row r="17" spans="1:8" ht="12.75" thickTop="1">
      <c r="A17" s="99"/>
      <c r="B17" s="98"/>
      <c r="C17" s="98"/>
      <c r="D17" s="100"/>
      <c r="E17" s="101"/>
      <c r="F17" s="103"/>
      <c r="G17" s="103"/>
      <c r="H17" s="155"/>
    </row>
    <row r="18" spans="1:8">
      <c r="A18" s="153" t="e">
        <f>+A6+1</f>
        <v>#REF!</v>
      </c>
      <c r="B18" s="122" t="s">
        <v>55</v>
      </c>
      <c r="E18" s="18"/>
    </row>
    <row r="19" spans="1:8" ht="3" customHeight="1">
      <c r="A19" s="120"/>
      <c r="B19" s="156"/>
      <c r="E19" s="18"/>
    </row>
    <row r="20" spans="1:8">
      <c r="A20" s="120" t="e">
        <f>+A18+0.1</f>
        <v>#REF!</v>
      </c>
      <c r="B20" s="870" t="s">
        <v>347</v>
      </c>
      <c r="C20" s="870"/>
      <c r="D20" s="870"/>
      <c r="E20" s="870"/>
      <c r="F20" s="870"/>
      <c r="G20" s="870"/>
      <c r="H20" s="870"/>
    </row>
    <row r="21" spans="1:8">
      <c r="A21" s="120"/>
      <c r="B21" s="870"/>
      <c r="C21" s="870"/>
      <c r="D21" s="870"/>
      <c r="E21" s="870"/>
      <c r="F21" s="870"/>
      <c r="G21" s="870"/>
      <c r="H21" s="870"/>
    </row>
    <row r="22" spans="1:8">
      <c r="A22" s="120"/>
      <c r="B22" s="870"/>
      <c r="C22" s="870"/>
      <c r="D22" s="870"/>
      <c r="E22" s="870"/>
      <c r="F22" s="870"/>
      <c r="G22" s="870"/>
      <c r="H22" s="870"/>
    </row>
    <row r="23" spans="1:8">
      <c r="A23" s="120"/>
      <c r="B23" s="870"/>
      <c r="C23" s="870"/>
      <c r="D23" s="870"/>
      <c r="E23" s="870"/>
      <c r="F23" s="870"/>
      <c r="G23" s="870"/>
      <c r="H23" s="870"/>
    </row>
    <row r="24" spans="1:8">
      <c r="A24" s="120"/>
      <c r="B24" s="157"/>
      <c r="C24" s="157"/>
      <c r="D24" s="157"/>
      <c r="E24" s="157"/>
    </row>
    <row r="25" spans="1:8">
      <c r="A25" s="120" t="e">
        <f>+A20+0.1</f>
        <v>#REF!</v>
      </c>
      <c r="B25" s="870" t="s">
        <v>56</v>
      </c>
      <c r="C25" s="870"/>
      <c r="D25" s="870"/>
      <c r="E25" s="870"/>
      <c r="F25" s="870"/>
      <c r="G25" s="870"/>
      <c r="H25" s="870"/>
    </row>
    <row r="26" spans="1:8">
      <c r="A26" s="120"/>
      <c r="B26" s="870"/>
      <c r="C26" s="870"/>
      <c r="D26" s="870"/>
      <c r="E26" s="870"/>
      <c r="F26" s="870"/>
      <c r="G26" s="870"/>
      <c r="H26" s="870"/>
    </row>
    <row r="27" spans="1:8">
      <c r="A27" s="120"/>
      <c r="B27" s="113"/>
      <c r="C27" s="113"/>
      <c r="D27" s="113"/>
      <c r="E27" s="113"/>
    </row>
    <row r="28" spans="1:8">
      <c r="A28" s="120" t="e">
        <f>+A25+0.1</f>
        <v>#REF!</v>
      </c>
      <c r="B28" s="870" t="s">
        <v>360</v>
      </c>
      <c r="C28" s="870"/>
      <c r="D28" s="870"/>
      <c r="E28" s="870"/>
      <c r="F28" s="870"/>
      <c r="G28" s="870"/>
      <c r="H28" s="870"/>
    </row>
    <row r="29" spans="1:8">
      <c r="A29" s="120"/>
      <c r="B29" s="870"/>
      <c r="C29" s="870"/>
      <c r="D29" s="870"/>
      <c r="E29" s="870"/>
      <c r="F29" s="870"/>
      <c r="G29" s="870"/>
      <c r="H29" s="870"/>
    </row>
    <row r="30" spans="1:8" ht="4.5" customHeight="1">
      <c r="A30" s="120"/>
      <c r="C30" s="161"/>
      <c r="E30" s="208"/>
      <c r="F30" s="935" t="s">
        <v>352</v>
      </c>
      <c r="G30" s="210"/>
      <c r="H30" s="935" t="s">
        <v>349</v>
      </c>
    </row>
    <row r="31" spans="1:8">
      <c r="A31" s="120"/>
      <c r="C31" s="161"/>
      <c r="E31" s="208"/>
      <c r="F31" s="935"/>
      <c r="G31" s="210"/>
      <c r="H31" s="935"/>
    </row>
    <row r="32" spans="1:8">
      <c r="A32" s="120"/>
      <c r="C32" s="161"/>
      <c r="E32" s="208"/>
      <c r="F32" s="935"/>
      <c r="G32" s="210"/>
      <c r="H32" s="935"/>
    </row>
    <row r="33" spans="1:9">
      <c r="A33" s="120"/>
      <c r="C33" s="161"/>
      <c r="E33" s="208"/>
      <c r="F33" s="935"/>
      <c r="G33" s="210"/>
      <c r="H33" s="935"/>
    </row>
    <row r="34" spans="1:9">
      <c r="A34" s="153"/>
      <c r="B34" s="122"/>
      <c r="D34" s="123"/>
      <c r="E34" s="211"/>
      <c r="F34" s="339" t="s">
        <v>271</v>
      </c>
      <c r="G34" s="340"/>
      <c r="H34" s="340"/>
    </row>
    <row r="35" spans="1:9">
      <c r="A35" s="120"/>
      <c r="B35" s="158" t="s">
        <v>122</v>
      </c>
      <c r="C35" s="159"/>
      <c r="E35" s="123"/>
      <c r="F35" s="934" t="s">
        <v>202</v>
      </c>
      <c r="G35" s="934"/>
      <c r="H35" s="934"/>
    </row>
    <row r="36" spans="1:9" ht="8.1" customHeight="1">
      <c r="A36" s="120"/>
      <c r="B36" s="174"/>
      <c r="C36" s="159"/>
      <c r="E36" s="123"/>
      <c r="F36" s="105"/>
      <c r="G36" s="212"/>
      <c r="H36" s="105"/>
    </row>
    <row r="37" spans="1:9">
      <c r="A37" s="120"/>
      <c r="B37" s="122" t="s">
        <v>57</v>
      </c>
      <c r="E37" s="18"/>
      <c r="F37" s="64"/>
      <c r="G37" s="207"/>
    </row>
    <row r="38" spans="1:9">
      <c r="A38" s="120"/>
      <c r="B38" s="124" t="s">
        <v>279</v>
      </c>
      <c r="E38" s="21"/>
      <c r="F38" s="21">
        <f>IS!E21</f>
        <v>41225</v>
      </c>
      <c r="H38" s="123">
        <f>IS!G21</f>
        <v>47484</v>
      </c>
    </row>
    <row r="39" spans="1:9" ht="8.1" customHeight="1">
      <c r="A39" s="120"/>
      <c r="B39" s="124"/>
      <c r="C39" s="124"/>
      <c r="D39" s="160"/>
      <c r="E39" s="21"/>
      <c r="F39" s="21"/>
      <c r="H39" s="169"/>
    </row>
    <row r="40" spans="1:9">
      <c r="A40" s="120"/>
      <c r="B40" s="120" t="s">
        <v>58</v>
      </c>
      <c r="E40" s="21"/>
      <c r="F40" s="21"/>
    </row>
    <row r="41" spans="1:9">
      <c r="A41" s="120"/>
      <c r="B41" s="124" t="s">
        <v>59</v>
      </c>
      <c r="E41" s="21"/>
      <c r="F41" s="21">
        <f>IS!E24</f>
        <v>697</v>
      </c>
      <c r="H41" s="123">
        <f>IS!G24</f>
        <v>668</v>
      </c>
    </row>
    <row r="42" spans="1:9">
      <c r="A42" s="120"/>
      <c r="B42" s="124" t="s">
        <v>123</v>
      </c>
      <c r="C42" s="124"/>
      <c r="D42" s="160"/>
      <c r="E42" s="21"/>
      <c r="F42" s="21">
        <f>IS!E27</f>
        <v>22</v>
      </c>
      <c r="H42" s="123">
        <f>IS!G27</f>
        <v>20</v>
      </c>
    </row>
    <row r="43" spans="1:9" ht="8.1" customHeight="1">
      <c r="A43" s="120"/>
      <c r="B43" s="124"/>
      <c r="C43" s="124"/>
      <c r="D43" s="160"/>
      <c r="E43" s="21"/>
      <c r="F43" s="21"/>
      <c r="H43" s="169"/>
    </row>
    <row r="44" spans="1:9">
      <c r="A44" s="120"/>
      <c r="B44" s="120" t="s">
        <v>216</v>
      </c>
      <c r="C44" s="124"/>
      <c r="D44" s="160"/>
      <c r="E44" s="21"/>
      <c r="F44" s="35"/>
      <c r="G44" s="35"/>
      <c r="H44" s="35"/>
    </row>
    <row r="45" spans="1:9">
      <c r="A45" s="120"/>
      <c r="B45" s="124" t="s">
        <v>83</v>
      </c>
      <c r="C45" s="124"/>
      <c r="D45" s="160"/>
      <c r="E45" s="21"/>
      <c r="F45" s="21">
        <v>2069001</v>
      </c>
      <c r="H45" s="169">
        <v>0</v>
      </c>
    </row>
    <row r="46" spans="1:9">
      <c r="A46" s="120"/>
      <c r="B46" s="124" t="s">
        <v>341</v>
      </c>
      <c r="C46" s="124"/>
      <c r="D46" s="160"/>
      <c r="E46" s="21"/>
      <c r="F46" s="21">
        <v>321088</v>
      </c>
      <c r="H46" s="169">
        <f>F46</f>
        <v>321088</v>
      </c>
    </row>
    <row r="47" spans="1:9">
      <c r="A47" s="120"/>
      <c r="B47" s="124" t="s">
        <v>353</v>
      </c>
      <c r="C47" s="124"/>
      <c r="D47" s="160"/>
      <c r="E47" s="21"/>
      <c r="F47" s="21">
        <f>292018+49384</f>
        <v>341402</v>
      </c>
      <c r="H47" s="169">
        <f>F47-I47</f>
        <v>49384</v>
      </c>
      <c r="I47" s="123">
        <v>292018</v>
      </c>
    </row>
    <row r="48" spans="1:9" ht="8.1" customHeight="1">
      <c r="A48" s="120"/>
      <c r="B48" s="124"/>
      <c r="C48" s="124"/>
      <c r="D48" s="160"/>
      <c r="E48" s="21"/>
      <c r="F48" s="21"/>
      <c r="H48" s="169"/>
    </row>
    <row r="49" spans="1:8">
      <c r="A49" s="120"/>
      <c r="B49" s="120" t="s">
        <v>124</v>
      </c>
      <c r="C49" s="124"/>
      <c r="D49" s="160"/>
      <c r="E49" s="21"/>
      <c r="F49" s="21"/>
      <c r="H49" s="169"/>
    </row>
    <row r="50" spans="1:8">
      <c r="A50" s="120"/>
      <c r="B50" s="124" t="s">
        <v>342</v>
      </c>
      <c r="C50" s="124"/>
      <c r="D50" s="160"/>
      <c r="E50" s="21"/>
      <c r="F50" s="21">
        <v>1782140</v>
      </c>
      <c r="H50" s="169">
        <v>0</v>
      </c>
    </row>
    <row r="51" spans="1:8" ht="8.1" customHeight="1">
      <c r="A51" s="120"/>
      <c r="B51" s="124"/>
      <c r="C51" s="124"/>
      <c r="D51" s="160"/>
      <c r="E51" s="21"/>
      <c r="F51" s="21"/>
      <c r="H51" s="169"/>
    </row>
    <row r="52" spans="1:8">
      <c r="A52" s="120"/>
      <c r="B52" s="120" t="s">
        <v>255</v>
      </c>
      <c r="C52" s="124"/>
      <c r="D52" s="160"/>
      <c r="E52" s="21"/>
      <c r="F52" s="21"/>
      <c r="H52" s="169"/>
    </row>
    <row r="53" spans="1:8">
      <c r="A53" s="120"/>
      <c r="B53" s="124" t="s">
        <v>343</v>
      </c>
      <c r="C53" s="124"/>
      <c r="D53" s="160"/>
      <c r="E53" s="21"/>
      <c r="F53" s="21">
        <v>1551266</v>
      </c>
      <c r="H53" s="169">
        <v>0</v>
      </c>
    </row>
    <row r="54" spans="1:8" ht="8.1" customHeight="1">
      <c r="A54" s="120"/>
      <c r="B54" s="124"/>
      <c r="C54" s="124"/>
      <c r="D54" s="160"/>
      <c r="E54" s="21"/>
      <c r="F54" s="21"/>
      <c r="H54" s="169"/>
    </row>
    <row r="55" spans="1:8">
      <c r="A55" s="120"/>
      <c r="B55" s="161"/>
      <c r="C55" s="161"/>
      <c r="E55" s="104"/>
      <c r="G55" s="123"/>
      <c r="H55" s="209" t="s">
        <v>355</v>
      </c>
    </row>
    <row r="56" spans="1:8">
      <c r="A56" s="120"/>
      <c r="B56" s="161"/>
      <c r="C56" s="161"/>
      <c r="E56" s="104"/>
      <c r="G56" s="123"/>
      <c r="H56" s="209" t="s">
        <v>271</v>
      </c>
    </row>
    <row r="57" spans="1:8">
      <c r="A57" s="120"/>
      <c r="C57" s="162"/>
      <c r="E57" s="123"/>
      <c r="H57" s="105" t="s">
        <v>202</v>
      </c>
    </row>
    <row r="58" spans="1:8">
      <c r="A58" s="120"/>
      <c r="B58" s="158" t="s">
        <v>60</v>
      </c>
      <c r="H58" s="18"/>
    </row>
    <row r="59" spans="1:8" ht="5.25" customHeight="1">
      <c r="A59" s="120"/>
      <c r="H59" s="18"/>
    </row>
    <row r="60" spans="1:8">
      <c r="A60" s="120"/>
      <c r="B60" s="122" t="s">
        <v>57</v>
      </c>
      <c r="H60" s="18"/>
    </row>
    <row r="61" spans="1:8">
      <c r="A61" s="120"/>
      <c r="B61" s="161" t="s">
        <v>280</v>
      </c>
      <c r="C61" s="161"/>
      <c r="H61" s="18">
        <f>BS!H20</f>
        <v>16299</v>
      </c>
    </row>
    <row r="62" spans="1:8">
      <c r="A62" s="120"/>
      <c r="B62" s="161" t="s">
        <v>132</v>
      </c>
      <c r="C62" s="161"/>
      <c r="H62" s="18" t="e">
        <f>#REF!</f>
        <v>#REF!</v>
      </c>
    </row>
    <row r="63" spans="1:8">
      <c r="A63" s="120"/>
      <c r="B63" s="161"/>
      <c r="C63" s="161"/>
      <c r="H63" s="18"/>
    </row>
    <row r="64" spans="1:8">
      <c r="A64" s="120"/>
      <c r="B64" s="120" t="s">
        <v>58</v>
      </c>
      <c r="C64" s="161"/>
      <c r="H64" s="18"/>
    </row>
    <row r="65" spans="1:8">
      <c r="A65" s="120"/>
      <c r="B65" s="161" t="s">
        <v>61</v>
      </c>
      <c r="C65" s="161"/>
      <c r="H65" s="18">
        <f>BS!H21</f>
        <v>230</v>
      </c>
    </row>
    <row r="66" spans="1:8">
      <c r="A66" s="120"/>
      <c r="B66" s="161" t="s">
        <v>102</v>
      </c>
      <c r="C66" s="161"/>
      <c r="H66" s="18" t="e">
        <f>#REF!</f>
        <v>#REF!</v>
      </c>
    </row>
    <row r="67" spans="1:8">
      <c r="A67" s="120"/>
      <c r="B67" s="161"/>
      <c r="C67" s="161"/>
      <c r="H67" s="18"/>
    </row>
    <row r="68" spans="1:8">
      <c r="A68" s="120"/>
      <c r="B68" s="162" t="s">
        <v>125</v>
      </c>
      <c r="C68" s="161"/>
      <c r="H68" s="18"/>
    </row>
    <row r="69" spans="1:8">
      <c r="A69" s="120"/>
      <c r="B69" s="161" t="s">
        <v>84</v>
      </c>
      <c r="C69" s="161"/>
      <c r="H69" s="18">
        <f>'working for rp'!F14</f>
        <v>1807403.6535583509</v>
      </c>
    </row>
    <row r="70" spans="1:8">
      <c r="A70" s="120"/>
      <c r="B70" s="161" t="s">
        <v>354</v>
      </c>
      <c r="C70" s="161"/>
      <c r="H70" s="18">
        <v>579041</v>
      </c>
    </row>
    <row r="71" spans="1:8">
      <c r="A71" s="120"/>
      <c r="B71" s="161"/>
      <c r="C71" s="161"/>
      <c r="H71" s="18"/>
    </row>
    <row r="72" spans="1:8">
      <c r="A72" s="120"/>
      <c r="B72" s="120" t="s">
        <v>124</v>
      </c>
      <c r="C72" s="161"/>
      <c r="H72" s="18"/>
    </row>
    <row r="73" spans="1:8">
      <c r="A73" s="120"/>
      <c r="B73" s="124" t="s">
        <v>111</v>
      </c>
      <c r="C73" s="161"/>
      <c r="H73" s="18">
        <f>'working for rp'!F16</f>
        <v>1831544.3260263549</v>
      </c>
    </row>
    <row r="74" spans="1:8">
      <c r="A74" s="120"/>
      <c r="B74" s="124"/>
      <c r="C74" s="161"/>
      <c r="H74" s="18"/>
    </row>
    <row r="75" spans="1:8">
      <c r="A75" s="120"/>
      <c r="B75" s="120" t="s">
        <v>255</v>
      </c>
      <c r="C75" s="161"/>
      <c r="H75" s="18"/>
    </row>
    <row r="76" spans="1:8">
      <c r="A76" s="120"/>
      <c r="B76" s="124" t="s">
        <v>344</v>
      </c>
      <c r="C76" s="161"/>
      <c r="H76" s="18">
        <f>'working for rp'!F18</f>
        <v>1594270.1736897479</v>
      </c>
    </row>
    <row r="77" spans="1:8">
      <c r="A77" s="153"/>
      <c r="B77" s="122"/>
      <c r="D77" s="123"/>
      <c r="E77" s="164"/>
      <c r="F77" s="123"/>
      <c r="G77" s="164"/>
    </row>
    <row r="78" spans="1:8">
      <c r="A78" s="163" t="e">
        <f>A18+1</f>
        <v>#REF!</v>
      </c>
      <c r="B78" s="122" t="s">
        <v>62</v>
      </c>
      <c r="D78" s="123"/>
      <c r="E78" s="164"/>
      <c r="F78" s="123"/>
      <c r="G78" s="164"/>
    </row>
    <row r="79" spans="1:8" ht="3.75" customHeight="1">
      <c r="A79" s="153"/>
      <c r="B79" s="122"/>
      <c r="D79" s="123"/>
      <c r="E79" s="164"/>
      <c r="F79" s="123"/>
      <c r="G79" s="164"/>
    </row>
    <row r="80" spans="1:8">
      <c r="B80" s="870" t="s">
        <v>357</v>
      </c>
      <c r="C80" s="870"/>
      <c r="D80" s="870"/>
      <c r="E80" s="870"/>
      <c r="F80" s="870"/>
      <c r="G80" s="870"/>
      <c r="H80" s="870"/>
    </row>
    <row r="81" spans="1:8">
      <c r="B81" s="870"/>
      <c r="C81" s="870"/>
      <c r="D81" s="870"/>
      <c r="E81" s="870"/>
      <c r="F81" s="870"/>
      <c r="G81" s="870"/>
      <c r="H81" s="870"/>
    </row>
    <row r="82" spans="1:8" ht="6" customHeight="1">
      <c r="A82" s="153"/>
      <c r="B82" s="122"/>
      <c r="D82" s="123"/>
      <c r="E82" s="164"/>
      <c r="F82" s="123"/>
      <c r="G82" s="164"/>
    </row>
    <row r="83" spans="1:8">
      <c r="A83" s="163" t="e">
        <f>+A78+1</f>
        <v>#REF!</v>
      </c>
      <c r="B83" s="122" t="s">
        <v>63</v>
      </c>
      <c r="D83" s="123"/>
      <c r="E83" s="164"/>
      <c r="F83" s="123"/>
      <c r="G83" s="164"/>
    </row>
    <row r="84" spans="1:8" ht="3.75" customHeight="1">
      <c r="A84" s="153"/>
      <c r="B84" s="122"/>
      <c r="D84" s="123"/>
      <c r="E84" s="164"/>
      <c r="F84" s="123"/>
      <c r="G84" s="164"/>
    </row>
    <row r="85" spans="1:8">
      <c r="A85" s="153"/>
      <c r="B85" s="123" t="s">
        <v>64</v>
      </c>
      <c r="D85" s="123"/>
      <c r="E85" s="164"/>
      <c r="F85" s="123"/>
      <c r="G85" s="164"/>
    </row>
    <row r="86" spans="1:8">
      <c r="A86" s="153"/>
      <c r="D86" s="123"/>
      <c r="E86" s="164"/>
      <c r="F86" s="123"/>
      <c r="G86" s="164"/>
    </row>
    <row r="87" spans="1:8">
      <c r="A87" s="175" t="s">
        <v>252</v>
      </c>
      <c r="B87" s="165"/>
      <c r="C87" s="165"/>
      <c r="D87" s="165"/>
      <c r="E87" s="165"/>
      <c r="F87" s="165"/>
      <c r="G87" s="165"/>
      <c r="H87" s="165"/>
    </row>
    <row r="88" spans="1:8">
      <c r="A88" s="175" t="s">
        <v>253</v>
      </c>
      <c r="B88" s="165"/>
      <c r="C88" s="165"/>
      <c r="D88" s="165"/>
      <c r="E88" s="165"/>
      <c r="F88" s="165"/>
      <c r="G88" s="165"/>
      <c r="H88" s="165"/>
    </row>
    <row r="89" spans="1:8">
      <c r="A89" s="30"/>
      <c r="B89" s="166"/>
      <c r="C89" s="166"/>
      <c r="D89" s="167"/>
      <c r="E89" s="166"/>
      <c r="F89" s="123"/>
      <c r="G89" s="164"/>
    </row>
    <row r="90" spans="1:8">
      <c r="A90" s="30"/>
      <c r="B90" s="166"/>
      <c r="C90" s="166"/>
      <c r="D90" s="167"/>
      <c r="E90" s="166"/>
      <c r="F90" s="123"/>
      <c r="G90" s="164"/>
    </row>
    <row r="91" spans="1:8">
      <c r="A91" s="30"/>
    </row>
    <row r="92" spans="1:8">
      <c r="A92" s="30" t="s">
        <v>256</v>
      </c>
    </row>
  </sheetData>
  <mergeCells count="11">
    <mergeCell ref="F6:H6"/>
    <mergeCell ref="F35:H35"/>
    <mergeCell ref="B80:H81"/>
    <mergeCell ref="B28:H29"/>
    <mergeCell ref="H1:H4"/>
    <mergeCell ref="F1:F4"/>
    <mergeCell ref="F14:H14"/>
    <mergeCell ref="F30:F33"/>
    <mergeCell ref="B20:H23"/>
    <mergeCell ref="B25:H26"/>
    <mergeCell ref="H30:H33"/>
  </mergeCells>
  <phoneticPr fontId="71" type="noConversion"/>
  <printOptions horizontalCentered="1"/>
  <pageMargins left="0.75" right="0.5" top="0.5" bottom="0.25" header="0.5" footer="0.5"/>
  <pageSetup paperSize="9" scale="80" fitToWidth="6" fitToHeight="6" orientation="portrait" r:id="rId1"/>
  <headerFooter alignWithMargins="0">
    <oddFooter>&amp;C9/9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87"/>
  <sheetViews>
    <sheetView workbookViewId="0"/>
  </sheetViews>
  <sheetFormatPr defaultRowHeight="12"/>
  <cols>
    <col min="1" max="1" width="39.375" style="190" customWidth="1"/>
    <col min="2" max="2" width="17.25" style="202" hidden="1" customWidth="1"/>
    <col min="3" max="3" width="0.125" style="190" hidden="1" customWidth="1"/>
    <col min="4" max="4" width="9.125" style="190" customWidth="1"/>
    <col min="5" max="5" width="12.125" style="190" customWidth="1"/>
    <col min="6" max="6" width="9.75" style="299" customWidth="1"/>
    <col min="7" max="7" width="11" style="299" customWidth="1"/>
    <col min="8" max="8" width="8.625" style="195" customWidth="1"/>
    <col min="9" max="16384" width="9" style="190"/>
  </cols>
  <sheetData>
    <row r="1" spans="1:8">
      <c r="A1" s="185" t="s">
        <v>294</v>
      </c>
      <c r="B1" s="187"/>
    </row>
    <row r="2" spans="1:8">
      <c r="A2" s="185" t="s">
        <v>295</v>
      </c>
      <c r="B2" s="187"/>
    </row>
    <row r="3" spans="1:8">
      <c r="A3" s="185" t="s">
        <v>296</v>
      </c>
      <c r="B3" s="187"/>
    </row>
    <row r="4" spans="1:8">
      <c r="A4" s="185"/>
      <c r="B4" s="187"/>
    </row>
    <row r="5" spans="1:8">
      <c r="A5" s="300" t="s">
        <v>107</v>
      </c>
      <c r="B5" s="187"/>
    </row>
    <row r="6" spans="1:8">
      <c r="A6" s="185"/>
      <c r="B6" s="187"/>
    </row>
    <row r="7" spans="1:8">
      <c r="A7" s="301"/>
      <c r="B7" s="302"/>
    </row>
    <row r="8" spans="1:8" s="330" customFormat="1" ht="24" customHeight="1">
      <c r="A8" s="304" t="s">
        <v>299</v>
      </c>
      <c r="B8" s="305" t="s">
        <v>303</v>
      </c>
      <c r="C8" s="305" t="s">
        <v>21</v>
      </c>
      <c r="D8" s="327" t="s">
        <v>22</v>
      </c>
      <c r="E8" s="327" t="s">
        <v>250</v>
      </c>
      <c r="F8" s="328" t="s">
        <v>105</v>
      </c>
      <c r="G8" s="329" t="s">
        <v>108</v>
      </c>
      <c r="H8" s="306" t="s">
        <v>103</v>
      </c>
    </row>
    <row r="9" spans="1:8" s="330" customFormat="1" ht="24" customHeight="1">
      <c r="A9" s="307"/>
      <c r="B9" s="308" t="s">
        <v>23</v>
      </c>
      <c r="C9" s="308" t="s">
        <v>26</v>
      </c>
      <c r="D9" s="330" t="s">
        <v>24</v>
      </c>
      <c r="E9" s="330" t="s">
        <v>25</v>
      </c>
      <c r="F9" s="331"/>
      <c r="G9" s="331" t="s">
        <v>250</v>
      </c>
      <c r="H9" s="332"/>
    </row>
    <row r="10" spans="1:8" s="309" customFormat="1" ht="11.25">
      <c r="A10" s="307"/>
      <c r="B10" s="308"/>
      <c r="F10" s="310"/>
      <c r="G10" s="310"/>
      <c r="H10" s="311"/>
    </row>
    <row r="11" spans="1:8" s="309" customFormat="1" ht="11.25">
      <c r="A11" s="312" t="s">
        <v>307</v>
      </c>
      <c r="B11" s="313">
        <v>0</v>
      </c>
      <c r="C11" s="314">
        <f>ROUND(B11/E11,0)</f>
        <v>0</v>
      </c>
      <c r="D11" s="315">
        <v>7110.0079999999998</v>
      </c>
      <c r="E11" s="310">
        <f>D11*1000000</f>
        <v>7110008000</v>
      </c>
      <c r="F11" s="310">
        <f>'Notes 3.10-4.3'!H26</f>
        <v>0</v>
      </c>
      <c r="G11" s="310">
        <f>F11*10</f>
        <v>0</v>
      </c>
      <c r="H11" s="354">
        <f>G11/E11</f>
        <v>0</v>
      </c>
    </row>
    <row r="12" spans="1:8" s="309" customFormat="1" ht="11.25">
      <c r="A12" s="316" t="s">
        <v>308</v>
      </c>
      <c r="B12" s="313">
        <v>10002856.5</v>
      </c>
      <c r="C12" s="314">
        <f t="shared" ref="C12:C21" si="0">ROUND(B12/E12,0)</f>
        <v>0</v>
      </c>
      <c r="D12" s="315">
        <v>5073.4660000000003</v>
      </c>
      <c r="E12" s="310">
        <f>D12*1000000</f>
        <v>5073466000</v>
      </c>
      <c r="F12" s="310">
        <f>'Notes 3.10-4.3'!H27</f>
        <v>366405</v>
      </c>
      <c r="G12" s="310">
        <f>F12*10</f>
        <v>3664050</v>
      </c>
      <c r="H12" s="354">
        <f t="shared" ref="H12:H75" si="1">G12/E12</f>
        <v>7.221985916531224E-4</v>
      </c>
    </row>
    <row r="13" spans="1:8" s="309" customFormat="1" ht="11.25">
      <c r="A13" s="316" t="s">
        <v>309</v>
      </c>
      <c r="B13" s="313">
        <v>63630756.899999999</v>
      </c>
      <c r="C13" s="314">
        <f t="shared" si="0"/>
        <v>0</v>
      </c>
      <c r="D13" s="315">
        <v>13491.563</v>
      </c>
      <c r="E13" s="310">
        <f t="shared" ref="E13:E24" si="2">D13*1000000</f>
        <v>13491563000</v>
      </c>
      <c r="F13" s="310">
        <v>4620970</v>
      </c>
      <c r="G13" s="310">
        <f t="shared" ref="G13:G24" si="3">F13*10</f>
        <v>46209700</v>
      </c>
      <c r="H13" s="354">
        <f t="shared" si="1"/>
        <v>3.4250812896919358E-3</v>
      </c>
    </row>
    <row r="14" spans="1:8" s="309" customFormat="1" ht="11.25">
      <c r="A14" s="316" t="s">
        <v>310</v>
      </c>
      <c r="B14" s="313">
        <v>872071.2</v>
      </c>
      <c r="C14" s="314">
        <f t="shared" si="0"/>
        <v>0</v>
      </c>
      <c r="D14" s="315">
        <v>6101.3689999999997</v>
      </c>
      <c r="E14" s="310">
        <f t="shared" si="2"/>
        <v>6101369000</v>
      </c>
      <c r="F14" s="310">
        <v>26620</v>
      </c>
      <c r="G14" s="310">
        <f t="shared" si="3"/>
        <v>266200</v>
      </c>
      <c r="H14" s="354">
        <f t="shared" si="1"/>
        <v>4.3629552646299544E-5</v>
      </c>
    </row>
    <row r="15" spans="1:8" s="309" customFormat="1" ht="11.25">
      <c r="A15" s="316" t="s">
        <v>311</v>
      </c>
      <c r="B15" s="313">
        <v>9677460</v>
      </c>
      <c r="C15" s="314">
        <f t="shared" si="0"/>
        <v>0</v>
      </c>
      <c r="D15" s="315">
        <v>5287.9740000000002</v>
      </c>
      <c r="E15" s="310">
        <f t="shared" si="2"/>
        <v>5287974000</v>
      </c>
      <c r="F15" s="310">
        <v>496280</v>
      </c>
      <c r="G15" s="310">
        <f t="shared" si="3"/>
        <v>4962800</v>
      </c>
      <c r="H15" s="354">
        <f t="shared" si="1"/>
        <v>9.385068837327869E-4</v>
      </c>
    </row>
    <row r="16" spans="1:8" s="309" customFormat="1" ht="11.25">
      <c r="A16" s="316" t="s">
        <v>313</v>
      </c>
      <c r="B16" s="313">
        <v>2611619.4</v>
      </c>
      <c r="C16" s="314">
        <f t="shared" si="0"/>
        <v>0</v>
      </c>
      <c r="D16" s="315">
        <v>6090.9110000000001</v>
      </c>
      <c r="E16" s="310">
        <f t="shared" si="2"/>
        <v>6090911000</v>
      </c>
      <c r="F16" s="310">
        <v>148980</v>
      </c>
      <c r="G16" s="310">
        <f t="shared" si="3"/>
        <v>1489800</v>
      </c>
      <c r="H16" s="354">
        <f t="shared" si="1"/>
        <v>2.4459395318696987E-4</v>
      </c>
    </row>
    <row r="17" spans="1:8" s="309" customFormat="1" ht="11.25">
      <c r="A17" s="316" t="s">
        <v>314</v>
      </c>
      <c r="B17" s="313">
        <v>118534864.72</v>
      </c>
      <c r="C17" s="314">
        <f t="shared" si="0"/>
        <v>0</v>
      </c>
      <c r="D17" s="315">
        <v>9108</v>
      </c>
      <c r="E17" s="310">
        <f t="shared" si="2"/>
        <v>9108000000</v>
      </c>
      <c r="F17" s="310">
        <v>960263</v>
      </c>
      <c r="G17" s="310">
        <f t="shared" si="3"/>
        <v>9602630</v>
      </c>
      <c r="H17" s="354">
        <f t="shared" si="1"/>
        <v>1.0543072024593763E-3</v>
      </c>
    </row>
    <row r="18" spans="1:8" s="309" customFormat="1" ht="11.25">
      <c r="A18" s="316" t="s">
        <v>315</v>
      </c>
      <c r="B18" s="313">
        <v>130220812</v>
      </c>
      <c r="C18" s="314">
        <f t="shared" si="0"/>
        <v>0</v>
      </c>
      <c r="D18" s="315">
        <v>6911.0450000000001</v>
      </c>
      <c r="E18" s="310">
        <f t="shared" si="2"/>
        <v>6911045000</v>
      </c>
      <c r="F18" s="310">
        <v>592775</v>
      </c>
      <c r="G18" s="310">
        <f t="shared" si="3"/>
        <v>5927750</v>
      </c>
      <c r="H18" s="354">
        <f t="shared" si="1"/>
        <v>8.5772122739759325E-4</v>
      </c>
    </row>
    <row r="19" spans="1:8" s="309" customFormat="1" ht="11.25">
      <c r="A19" s="316" t="s">
        <v>316</v>
      </c>
      <c r="B19" s="313">
        <v>0</v>
      </c>
      <c r="C19" s="314">
        <f t="shared" si="0"/>
        <v>0</v>
      </c>
      <c r="D19" s="315">
        <v>6650.0479999999998</v>
      </c>
      <c r="E19" s="310">
        <f t="shared" si="2"/>
        <v>6650048000</v>
      </c>
      <c r="F19" s="310">
        <v>0</v>
      </c>
      <c r="G19" s="310">
        <f t="shared" si="3"/>
        <v>0</v>
      </c>
      <c r="H19" s="354">
        <f t="shared" si="1"/>
        <v>0</v>
      </c>
    </row>
    <row r="20" spans="1:8" s="309" customFormat="1" ht="11.25">
      <c r="A20" s="316" t="s">
        <v>317</v>
      </c>
      <c r="B20" s="313">
        <v>545081900.25</v>
      </c>
      <c r="C20" s="314">
        <f t="shared" si="0"/>
        <v>0</v>
      </c>
      <c r="D20" s="315">
        <v>10763.700999999999</v>
      </c>
      <c r="E20" s="310">
        <f t="shared" si="2"/>
        <v>10763701000</v>
      </c>
      <c r="F20" s="310">
        <v>7329325</v>
      </c>
      <c r="G20" s="310">
        <f t="shared" si="3"/>
        <v>73293250</v>
      </c>
      <c r="H20" s="354">
        <f t="shared" si="1"/>
        <v>6.809298214433864E-3</v>
      </c>
    </row>
    <row r="21" spans="1:8" s="309" customFormat="1" ht="11.25">
      <c r="A21" s="316" t="s">
        <v>318</v>
      </c>
      <c r="B21" s="313">
        <v>4540987.2</v>
      </c>
      <c r="C21" s="314">
        <f t="shared" si="0"/>
        <v>0</v>
      </c>
      <c r="D21" s="315">
        <v>40437.269999999997</v>
      </c>
      <c r="E21" s="310">
        <f t="shared" si="2"/>
        <v>40437270000</v>
      </c>
      <c r="F21" s="310">
        <v>946039</v>
      </c>
      <c r="G21" s="310">
        <f t="shared" si="3"/>
        <v>9460390</v>
      </c>
      <c r="H21" s="354">
        <f t="shared" si="1"/>
        <v>2.339522425722607E-4</v>
      </c>
    </row>
    <row r="22" spans="1:8" s="309" customFormat="1" ht="11.25">
      <c r="A22" s="316" t="s">
        <v>319</v>
      </c>
      <c r="B22" s="313">
        <v>0</v>
      </c>
      <c r="C22" s="314">
        <f>B22/E22</f>
        <v>0</v>
      </c>
      <c r="D22" s="315">
        <v>5019.3509999999997</v>
      </c>
      <c r="E22" s="310">
        <f t="shared" si="2"/>
        <v>5019351000</v>
      </c>
      <c r="F22" s="310">
        <f>'Notes 3.10-4.3'!H37</f>
        <v>0</v>
      </c>
      <c r="G22" s="310">
        <f t="shared" si="3"/>
        <v>0</v>
      </c>
      <c r="H22" s="354">
        <f t="shared" si="1"/>
        <v>0</v>
      </c>
    </row>
    <row r="23" spans="1:8" s="309" customFormat="1" ht="11.25">
      <c r="A23" s="316" t="s">
        <v>320</v>
      </c>
      <c r="B23" s="313">
        <v>0</v>
      </c>
      <c r="C23" s="314">
        <f>ROUND(B23/E23,0)</f>
        <v>0</v>
      </c>
      <c r="D23" s="315">
        <v>9003.15</v>
      </c>
      <c r="E23" s="310">
        <f t="shared" si="2"/>
        <v>9003150000</v>
      </c>
      <c r="F23" s="310">
        <v>0</v>
      </c>
      <c r="G23" s="310">
        <f t="shared" si="3"/>
        <v>0</v>
      </c>
      <c r="H23" s="354">
        <f t="shared" si="1"/>
        <v>0</v>
      </c>
    </row>
    <row r="24" spans="1:8" s="309" customFormat="1" ht="11.25">
      <c r="A24" s="316" t="s">
        <v>321</v>
      </c>
      <c r="B24" s="313">
        <v>88123720.650000006</v>
      </c>
      <c r="C24" s="314">
        <f>ROUND(B24/E24,0)</f>
        <v>0</v>
      </c>
      <c r="D24" s="315">
        <v>11128.906999999999</v>
      </c>
      <c r="E24" s="310">
        <f t="shared" si="2"/>
        <v>11128907000</v>
      </c>
      <c r="F24" s="310">
        <f>'Notes 3.10-4.3'!H39</f>
        <v>1507677</v>
      </c>
      <c r="G24" s="310">
        <f t="shared" si="3"/>
        <v>15076770</v>
      </c>
      <c r="H24" s="354">
        <f t="shared" si="1"/>
        <v>1.3547395085609037E-3</v>
      </c>
    </row>
    <row r="25" spans="1:8" s="309" customFormat="1" ht="11.25">
      <c r="A25" s="317" t="s">
        <v>322</v>
      </c>
      <c r="B25" s="318">
        <f>SUM(B11:B24)</f>
        <v>973297048.82000005</v>
      </c>
      <c r="C25" s="314"/>
      <c r="E25" s="310"/>
      <c r="F25" s="310"/>
      <c r="G25" s="310"/>
      <c r="H25" s="354"/>
    </row>
    <row r="26" spans="1:8" s="309" customFormat="1" ht="11.25">
      <c r="A26" s="317"/>
      <c r="B26" s="319"/>
      <c r="C26" s="314"/>
      <c r="E26" s="310"/>
      <c r="F26" s="310"/>
      <c r="G26" s="310"/>
      <c r="H26" s="354"/>
    </row>
    <row r="27" spans="1:8" s="309" customFormat="1" ht="11.25">
      <c r="A27" s="320" t="s">
        <v>323</v>
      </c>
      <c r="B27" s="313">
        <v>67024647</v>
      </c>
      <c r="C27" s="314">
        <f>B27/E27</f>
        <v>5.9599343581243601E-2</v>
      </c>
      <c r="D27" s="315">
        <v>1124.587</v>
      </c>
      <c r="E27" s="310">
        <f>D27*1000000</f>
        <v>1124587000</v>
      </c>
      <c r="F27" s="310">
        <f>'Notes 3.10-4.3'!H43</f>
        <v>543590</v>
      </c>
      <c r="G27" s="310">
        <f>F27*10</f>
        <v>5435900</v>
      </c>
      <c r="H27" s="354">
        <f t="shared" si="1"/>
        <v>4.8336856108064557E-3</v>
      </c>
    </row>
    <row r="28" spans="1:8" s="309" customFormat="1" ht="11.25">
      <c r="A28" s="320" t="s">
        <v>324</v>
      </c>
      <c r="B28" s="313">
        <v>7863046.3999999994</v>
      </c>
      <c r="C28" s="314">
        <f>B28/E28</f>
        <v>6.8374316521739127E-3</v>
      </c>
      <c r="D28" s="315">
        <v>1150</v>
      </c>
      <c r="E28" s="310">
        <f>D28*1000000</f>
        <v>1150000000</v>
      </c>
      <c r="F28" s="310">
        <f>'Notes 3.10-4.3'!H44</f>
        <v>80564</v>
      </c>
      <c r="G28" s="310">
        <f>F28*10</f>
        <v>805640</v>
      </c>
      <c r="H28" s="354">
        <f t="shared" si="1"/>
        <v>7.0055652173913049E-4</v>
      </c>
    </row>
    <row r="29" spans="1:8" s="309" customFormat="1" ht="11.25">
      <c r="A29" s="320" t="s">
        <v>325</v>
      </c>
      <c r="B29" s="313">
        <v>401391.9</v>
      </c>
      <c r="C29" s="314">
        <f>B29/E29</f>
        <v>1.337973E-4</v>
      </c>
      <c r="D29" s="315">
        <v>3000</v>
      </c>
      <c r="E29" s="310">
        <f>D29*1000000</f>
        <v>3000000000</v>
      </c>
      <c r="F29" s="310">
        <f>'Notes 3.10-4.3'!H45</f>
        <v>15379</v>
      </c>
      <c r="G29" s="310">
        <f>F29*10</f>
        <v>153790</v>
      </c>
      <c r="H29" s="354">
        <f t="shared" si="1"/>
        <v>5.1263333333333334E-5</v>
      </c>
    </row>
    <row r="30" spans="1:8" s="309" customFormat="1" ht="11.25">
      <c r="A30" s="321" t="s">
        <v>326</v>
      </c>
      <c r="B30" s="318">
        <f>SUM(B27:B29)</f>
        <v>75289085.300000012</v>
      </c>
      <c r="C30" s="314"/>
      <c r="E30" s="310">
        <f>D30*1000000</f>
        <v>0</v>
      </c>
      <c r="F30" s="310"/>
      <c r="G30" s="310"/>
      <c r="H30" s="354"/>
    </row>
    <row r="31" spans="1:8" s="309" customFormat="1" ht="11.25">
      <c r="A31" s="322"/>
      <c r="B31" s="319"/>
      <c r="C31" s="314"/>
      <c r="E31" s="310"/>
      <c r="F31" s="310"/>
      <c r="G31" s="310"/>
      <c r="H31" s="354"/>
    </row>
    <row r="32" spans="1:8" s="309" customFormat="1" ht="11.25">
      <c r="A32" s="316" t="s">
        <v>327</v>
      </c>
      <c r="B32" s="313">
        <v>16924452.93</v>
      </c>
      <c r="C32" s="314">
        <f>ROUND(B32/E32,0)</f>
        <v>0</v>
      </c>
      <c r="D32" s="315">
        <v>4493.4939999999997</v>
      </c>
      <c r="E32" s="310">
        <f>D32*1000000</f>
        <v>4493494000</v>
      </c>
      <c r="F32" s="310">
        <f>'Notes 3.10-4.3'!H49</f>
        <v>814067</v>
      </c>
      <c r="G32" s="310">
        <f>F32*10</f>
        <v>8140670</v>
      </c>
      <c r="H32" s="354">
        <f t="shared" si="1"/>
        <v>1.8116570312545204E-3</v>
      </c>
    </row>
    <row r="33" spans="1:8" s="309" customFormat="1" ht="11.25">
      <c r="A33" s="323" t="s">
        <v>328</v>
      </c>
      <c r="B33" s="313">
        <v>147983472.60000002</v>
      </c>
      <c r="C33" s="314">
        <f>ROUND(B33/E33,0)</f>
        <v>0</v>
      </c>
      <c r="D33" s="315">
        <v>2424.8270000000002</v>
      </c>
      <c r="E33" s="310">
        <f>D33*1000000</f>
        <v>2424827000</v>
      </c>
      <c r="F33" s="310">
        <f>'Notes 3.10-4.3'!H50</f>
        <v>2117074</v>
      </c>
      <c r="G33" s="310">
        <f>F33*10</f>
        <v>21170740</v>
      </c>
      <c r="H33" s="354">
        <f t="shared" si="1"/>
        <v>8.7308249207056834E-3</v>
      </c>
    </row>
    <row r="34" spans="1:8" s="309" customFormat="1" ht="11.25">
      <c r="A34" s="321" t="s">
        <v>329</v>
      </c>
      <c r="B34" s="318">
        <f>SUM(B32:B33)</f>
        <v>164907925.53000003</v>
      </c>
      <c r="C34" s="314"/>
      <c r="E34" s="310"/>
      <c r="F34" s="310"/>
      <c r="G34" s="310"/>
      <c r="H34" s="354"/>
    </row>
    <row r="35" spans="1:8" s="309" customFormat="1" ht="11.25">
      <c r="A35" s="317"/>
      <c r="B35" s="319"/>
      <c r="C35" s="314"/>
      <c r="E35" s="310"/>
      <c r="F35" s="310"/>
      <c r="G35" s="310"/>
      <c r="H35" s="354"/>
    </row>
    <row r="36" spans="1:8" s="309" customFormat="1" ht="11.25">
      <c r="A36" s="316" t="s">
        <v>330</v>
      </c>
      <c r="B36" s="313">
        <v>208951292.88000003</v>
      </c>
      <c r="C36" s="314">
        <f>ROUND(B36/E36,0)</f>
        <v>0</v>
      </c>
      <c r="D36" s="315">
        <v>3042.4940000000001</v>
      </c>
      <c r="E36" s="310">
        <f>D36*1000000</f>
        <v>3042494000</v>
      </c>
      <c r="F36" s="310">
        <f>'Notes 3.10-4.3'!H54</f>
        <v>6417423</v>
      </c>
      <c r="G36" s="310">
        <f>F36*10</f>
        <v>64174230</v>
      </c>
      <c r="H36" s="354">
        <f t="shared" si="1"/>
        <v>2.1092639788278959E-2</v>
      </c>
    </row>
    <row r="37" spans="1:8" s="309" customFormat="1" ht="11.25">
      <c r="A37" s="316" t="s">
        <v>331</v>
      </c>
      <c r="B37" s="313">
        <v>0</v>
      </c>
      <c r="C37" s="314"/>
      <c r="D37" s="315">
        <v>6932.8950000000004</v>
      </c>
      <c r="E37" s="310">
        <f>D37*1000000</f>
        <v>6932895000</v>
      </c>
      <c r="F37" s="310">
        <f>'Notes 3.10-4.3'!H55</f>
        <v>0</v>
      </c>
      <c r="G37" s="310">
        <f>F37*10</f>
        <v>0</v>
      </c>
      <c r="H37" s="354">
        <f t="shared" si="1"/>
        <v>0</v>
      </c>
    </row>
    <row r="38" spans="1:8" s="309" customFormat="1" ht="11.25">
      <c r="A38" s="316" t="s">
        <v>332</v>
      </c>
      <c r="B38" s="313">
        <v>0</v>
      </c>
      <c r="C38" s="314">
        <f>ROUND(B38/E38,0)</f>
        <v>0</v>
      </c>
      <c r="D38" s="315">
        <v>13126.445</v>
      </c>
      <c r="E38" s="310">
        <f>D38*1000000</f>
        <v>13126445000</v>
      </c>
      <c r="F38" s="310">
        <f>'Notes 3.10-4.3'!H56</f>
        <v>0</v>
      </c>
      <c r="G38" s="310">
        <f>F38*10</f>
        <v>0</v>
      </c>
      <c r="H38" s="354">
        <f t="shared" si="1"/>
        <v>0</v>
      </c>
    </row>
    <row r="39" spans="1:8" s="309" customFormat="1" ht="11.25">
      <c r="A39" s="316" t="s">
        <v>333</v>
      </c>
      <c r="B39" s="313">
        <v>479898996.47999996</v>
      </c>
      <c r="C39" s="314">
        <f>ROUND(B39/E39,0)</f>
        <v>0</v>
      </c>
      <c r="D39" s="315">
        <v>3233.75</v>
      </c>
      <c r="E39" s="310">
        <f>D39*1000000</f>
        <v>3233750000</v>
      </c>
      <c r="F39" s="310">
        <f>'Notes 3.10-4.3'!H57</f>
        <v>7244852</v>
      </c>
      <c r="G39" s="310">
        <f>F39*10</f>
        <v>72448520</v>
      </c>
      <c r="H39" s="354">
        <f t="shared" si="1"/>
        <v>2.240387166602242E-2</v>
      </c>
    </row>
    <row r="40" spans="1:8" s="309" customFormat="1" ht="11.25">
      <c r="A40" s="316" t="s">
        <v>334</v>
      </c>
      <c r="B40" s="313">
        <v>0</v>
      </c>
      <c r="C40" s="314">
        <f>B40/E40</f>
        <v>0</v>
      </c>
      <c r="D40" s="315">
        <v>3722.634</v>
      </c>
      <c r="E40" s="310">
        <f>D40*1000000</f>
        <v>3722634000</v>
      </c>
      <c r="F40" s="310">
        <f>'Notes 3.10-4.3'!H58</f>
        <v>0</v>
      </c>
      <c r="G40" s="310">
        <f>F40*10</f>
        <v>0</v>
      </c>
      <c r="H40" s="354">
        <f t="shared" si="1"/>
        <v>0</v>
      </c>
    </row>
    <row r="41" spans="1:8" s="309" customFormat="1" ht="11.25">
      <c r="A41" s="321" t="s">
        <v>335</v>
      </c>
      <c r="B41" s="318">
        <f>SUM(B36:B40)</f>
        <v>688850289.36000001</v>
      </c>
      <c r="C41" s="314"/>
      <c r="E41" s="310"/>
      <c r="F41" s="310"/>
      <c r="G41" s="310"/>
      <c r="H41" s="354"/>
    </row>
    <row r="42" spans="1:8" s="309" customFormat="1" ht="11.25">
      <c r="A42" s="317"/>
      <c r="B42" s="319"/>
      <c r="C42" s="314"/>
      <c r="E42" s="310"/>
      <c r="F42" s="310"/>
      <c r="G42" s="310"/>
      <c r="H42" s="354"/>
    </row>
    <row r="43" spans="1:8" s="309" customFormat="1" ht="11.25">
      <c r="A43" s="316" t="s">
        <v>336</v>
      </c>
      <c r="B43" s="313">
        <v>22511555.300000001</v>
      </c>
      <c r="C43" s="314">
        <f>ROUND(B43/E43,0)</f>
        <v>0</v>
      </c>
      <c r="D43" s="315">
        <v>852.93</v>
      </c>
      <c r="E43" s="310">
        <f>D43*1000000</f>
        <v>852930000</v>
      </c>
      <c r="F43" s="310">
        <f>'Notes 3.10-4.3'!H62</f>
        <v>163210</v>
      </c>
      <c r="G43" s="310">
        <f>F43*10</f>
        <v>1632100</v>
      </c>
      <c r="H43" s="354">
        <f t="shared" si="1"/>
        <v>1.9135216254557818E-3</v>
      </c>
    </row>
    <row r="44" spans="1:8" s="309" customFormat="1" ht="11.25">
      <c r="A44" s="316" t="s">
        <v>337</v>
      </c>
      <c r="B44" s="313">
        <v>0</v>
      </c>
      <c r="C44" s="314" t="e">
        <f>ROUND(E44/B44,0)</f>
        <v>#DIV/0!</v>
      </c>
      <c r="D44" s="315">
        <v>3921.0439999999999</v>
      </c>
      <c r="E44" s="310">
        <f>D44*1000000</f>
        <v>3921044000</v>
      </c>
      <c r="F44" s="310">
        <f>'Notes 3.10-4.3'!I63</f>
        <v>0</v>
      </c>
      <c r="G44" s="310">
        <f>F44*10</f>
        <v>0</v>
      </c>
      <c r="H44" s="354">
        <f t="shared" si="1"/>
        <v>0</v>
      </c>
    </row>
    <row r="45" spans="1:8" s="309" customFormat="1" ht="11.25">
      <c r="A45" s="316" t="s">
        <v>338</v>
      </c>
      <c r="B45" s="313">
        <v>1517822.88</v>
      </c>
      <c r="C45" s="314">
        <f>ROUND(B45/E45,0)</f>
        <v>0</v>
      </c>
      <c r="D45" s="315">
        <v>799.66600000000005</v>
      </c>
      <c r="E45" s="310">
        <f>D45*1000000</f>
        <v>799666000</v>
      </c>
      <c r="F45" s="310">
        <f>'Notes 3.10-4.3'!H64</f>
        <v>8584</v>
      </c>
      <c r="G45" s="310">
        <f>F45*10</f>
        <v>85840</v>
      </c>
      <c r="H45" s="354">
        <f t="shared" si="1"/>
        <v>1.0734481646087242E-4</v>
      </c>
    </row>
    <row r="46" spans="1:8" s="309" customFormat="1" ht="11.25">
      <c r="A46" s="316" t="s">
        <v>339</v>
      </c>
      <c r="B46" s="313">
        <v>5873141.2999999998</v>
      </c>
      <c r="C46" s="314">
        <f>ROUND(B46/E46,0)</f>
        <v>0</v>
      </c>
      <c r="D46" s="315">
        <v>350</v>
      </c>
      <c r="E46" s="310">
        <f>D46*1000000</f>
        <v>350000000</v>
      </c>
      <c r="F46" s="310">
        <f>'Notes 3.10-4.3'!H65</f>
        <v>48659</v>
      </c>
      <c r="G46" s="310">
        <f>F46*10</f>
        <v>486590</v>
      </c>
      <c r="H46" s="354">
        <f t="shared" si="1"/>
        <v>1.3902571428571428E-3</v>
      </c>
    </row>
    <row r="47" spans="1:8" s="309" customFormat="1" ht="11.25">
      <c r="A47" s="321" t="s">
        <v>340</v>
      </c>
      <c r="B47" s="318">
        <f>SUM(B43:B46)</f>
        <v>29902519.48</v>
      </c>
      <c r="C47" s="314"/>
      <c r="E47" s="310"/>
      <c r="F47" s="310"/>
      <c r="G47" s="310"/>
      <c r="H47" s="354"/>
    </row>
    <row r="48" spans="1:8" s="309" customFormat="1" ht="11.25">
      <c r="A48" s="317"/>
      <c r="B48" s="319"/>
      <c r="C48" s="314"/>
      <c r="E48" s="310"/>
      <c r="F48" s="310"/>
      <c r="G48" s="310"/>
      <c r="H48" s="354"/>
    </row>
    <row r="49" spans="1:8" s="309" customFormat="1" ht="11.25">
      <c r="A49" s="316" t="s">
        <v>167</v>
      </c>
      <c r="B49" s="313">
        <v>52220647.079999998</v>
      </c>
      <c r="C49" s="314">
        <f>ROUND(B49/E49,0)</f>
        <v>0</v>
      </c>
      <c r="D49" s="315">
        <v>11571.544</v>
      </c>
      <c r="E49" s="310">
        <f>D49*1000000</f>
        <v>11571544000</v>
      </c>
      <c r="F49" s="310">
        <v>1680201</v>
      </c>
      <c r="G49" s="310">
        <f>F49*10</f>
        <v>16802010</v>
      </c>
      <c r="H49" s="354">
        <f t="shared" si="1"/>
        <v>1.4520110712969679E-3</v>
      </c>
    </row>
    <row r="50" spans="1:8" s="309" customFormat="1" ht="11.25">
      <c r="A50" s="316" t="s">
        <v>168</v>
      </c>
      <c r="B50" s="313">
        <v>604107.9</v>
      </c>
      <c r="C50" s="314">
        <f>ROUND(B50/E50,0)</f>
        <v>0</v>
      </c>
      <c r="D50" s="315">
        <v>8802.5319999999992</v>
      </c>
      <c r="E50" s="310">
        <f>D50*1000000</f>
        <v>8802532000</v>
      </c>
      <c r="F50" s="310">
        <v>13170</v>
      </c>
      <c r="G50" s="310">
        <f>F50*10</f>
        <v>131700</v>
      </c>
      <c r="H50" s="354">
        <f t="shared" si="1"/>
        <v>1.4961604229328562E-5</v>
      </c>
    </row>
    <row r="51" spans="1:8" s="309" customFormat="1" ht="11.25">
      <c r="A51" s="321" t="s">
        <v>169</v>
      </c>
      <c r="B51" s="318">
        <f>SUM(B49:B50)</f>
        <v>52824754.979999997</v>
      </c>
      <c r="C51" s="314"/>
      <c r="E51" s="310"/>
      <c r="F51" s="310"/>
      <c r="G51" s="310"/>
      <c r="H51" s="354"/>
    </row>
    <row r="52" spans="1:8" s="309" customFormat="1" ht="11.25">
      <c r="A52" s="317"/>
      <c r="B52" s="319"/>
      <c r="C52" s="314"/>
      <c r="E52" s="310"/>
      <c r="F52" s="310"/>
      <c r="G52" s="310"/>
      <c r="H52" s="354"/>
    </row>
    <row r="53" spans="1:8" s="309" customFormat="1" ht="11.25">
      <c r="A53" s="316" t="s">
        <v>170</v>
      </c>
      <c r="B53" s="313">
        <v>0</v>
      </c>
      <c r="C53" s="314">
        <f>ROUND(B53/E53,0)</f>
        <v>0</v>
      </c>
      <c r="D53" s="315">
        <v>576</v>
      </c>
      <c r="E53" s="310">
        <f>D53*1000000</f>
        <v>576000000</v>
      </c>
      <c r="F53" s="310">
        <f>'Notes 3.10-4.3'!H79</f>
        <v>0</v>
      </c>
      <c r="G53" s="310">
        <f>F53*10</f>
        <v>0</v>
      </c>
      <c r="H53" s="354">
        <f t="shared" si="1"/>
        <v>0</v>
      </c>
    </row>
    <row r="54" spans="1:8" s="309" customFormat="1" ht="11.25">
      <c r="A54" s="316" t="s">
        <v>171</v>
      </c>
      <c r="B54" s="313">
        <v>193439806.56</v>
      </c>
      <c r="C54" s="314">
        <f>ROUND(B54/E54,0)</f>
        <v>0</v>
      </c>
      <c r="D54" s="315">
        <v>1715.19</v>
      </c>
      <c r="E54" s="310">
        <f>D54*1000000</f>
        <v>1715190000</v>
      </c>
      <c r="F54" s="310">
        <f>'Notes 3.10-4.3'!H80</f>
        <v>650349</v>
      </c>
      <c r="G54" s="310">
        <f>F54*10</f>
        <v>6503490</v>
      </c>
      <c r="H54" s="354">
        <f t="shared" si="1"/>
        <v>3.7917023769961345E-3</v>
      </c>
    </row>
    <row r="55" spans="1:8" s="309" customFormat="1" ht="11.25">
      <c r="A55" s="316" t="s">
        <v>172</v>
      </c>
      <c r="B55" s="313">
        <v>11061246.4</v>
      </c>
      <c r="C55" s="314">
        <f>ROUND(B55/E55,0)</f>
        <v>0</v>
      </c>
      <c r="D55" s="315">
        <v>5491.0529999999999</v>
      </c>
      <c r="E55" s="310">
        <f>D55*1000000</f>
        <v>5491053000</v>
      </c>
      <c r="F55" s="310">
        <f>'Notes 3.10-4.3'!H81</f>
        <v>446018</v>
      </c>
      <c r="G55" s="310">
        <f>F55*10</f>
        <v>4460180</v>
      </c>
      <c r="H55" s="354">
        <f t="shared" si="1"/>
        <v>8.122631487986002E-4</v>
      </c>
    </row>
    <row r="56" spans="1:8" s="309" customFormat="1" ht="11.25">
      <c r="A56" s="316" t="s">
        <v>106</v>
      </c>
      <c r="B56" s="313">
        <v>4400567.8099999996</v>
      </c>
      <c r="C56" s="314">
        <f>ROUND(B56/E56,0)</f>
        <v>0</v>
      </c>
      <c r="D56" s="315">
        <v>6711.7439999999997</v>
      </c>
      <c r="E56" s="310">
        <f>D56*1000000</f>
        <v>6711744000</v>
      </c>
      <c r="F56" s="310">
        <f>'Notes 3.10-4.3'!H82</f>
        <v>327667</v>
      </c>
      <c r="G56" s="310">
        <f>F56*10</f>
        <v>3276670</v>
      </c>
      <c r="H56" s="354">
        <f t="shared" si="1"/>
        <v>4.8819949032621028E-4</v>
      </c>
    </row>
    <row r="57" spans="1:8" s="309" customFormat="1" ht="11.25">
      <c r="A57" s="321" t="s">
        <v>384</v>
      </c>
      <c r="B57" s="318">
        <f>SUM(B53:B56)</f>
        <v>208901620.77000001</v>
      </c>
      <c r="C57" s="314"/>
      <c r="E57" s="310"/>
      <c r="F57" s="310"/>
      <c r="G57" s="310"/>
      <c r="H57" s="354"/>
    </row>
    <row r="58" spans="1:8" s="309" customFormat="1" ht="11.25">
      <c r="A58" s="317"/>
      <c r="B58" s="319"/>
      <c r="C58" s="314"/>
      <c r="E58" s="310"/>
      <c r="F58" s="310"/>
      <c r="G58" s="310"/>
      <c r="H58" s="354"/>
    </row>
    <row r="59" spans="1:8" s="309" customFormat="1" ht="11.25">
      <c r="A59" s="316" t="s">
        <v>386</v>
      </c>
      <c r="B59" s="313">
        <v>535044461.75999999</v>
      </c>
      <c r="C59" s="314">
        <f>ROUND(B59/E59,0)</f>
        <v>0</v>
      </c>
      <c r="D59" s="315">
        <v>43009.284</v>
      </c>
      <c r="E59" s="310">
        <f>D59*1000000</f>
        <v>43009284000</v>
      </c>
      <c r="F59" s="310">
        <f>'Notes 3.10-4.3'!H86</f>
        <v>4837216</v>
      </c>
      <c r="G59" s="310">
        <f>F59*10</f>
        <v>48372160</v>
      </c>
      <c r="H59" s="354">
        <f t="shared" si="1"/>
        <v>1.1246911248278394E-3</v>
      </c>
    </row>
    <row r="60" spans="1:8" s="309" customFormat="1" ht="11.25">
      <c r="A60" s="316" t="s">
        <v>387</v>
      </c>
      <c r="B60" s="313">
        <v>367099454.43000001</v>
      </c>
      <c r="C60" s="314">
        <f>ROUND(B60/E60,0)</f>
        <v>0</v>
      </c>
      <c r="D60" s="315">
        <v>2365.4589999999998</v>
      </c>
      <c r="E60" s="310">
        <f>D60*1000000</f>
        <v>2365459000</v>
      </c>
      <c r="F60" s="310">
        <f>'Notes 3.10-4.3'!H87</f>
        <v>1590759</v>
      </c>
      <c r="G60" s="310">
        <f>F60*10</f>
        <v>15907590</v>
      </c>
      <c r="H60" s="354">
        <f t="shared" si="1"/>
        <v>6.724948519505094E-3</v>
      </c>
    </row>
    <row r="61" spans="1:8" s="309" customFormat="1" ht="11.25">
      <c r="A61" s="324" t="s">
        <v>2</v>
      </c>
      <c r="B61" s="313">
        <v>520429479.34000003</v>
      </c>
      <c r="C61" s="314">
        <f>ROUND(B61/E61,0)</f>
        <v>0</v>
      </c>
      <c r="D61" s="315">
        <v>9958.152</v>
      </c>
      <c r="E61" s="310">
        <f>D61*1000000</f>
        <v>9958152000</v>
      </c>
      <c r="F61" s="310">
        <f>'Notes 3.10-4.3'!H88</f>
        <v>2745026</v>
      </c>
      <c r="G61" s="310">
        <f>F61*10</f>
        <v>27450260</v>
      </c>
      <c r="H61" s="354">
        <f t="shared" si="1"/>
        <v>2.7565616592315524E-3</v>
      </c>
    </row>
    <row r="62" spans="1:8" s="309" customFormat="1" ht="11.25">
      <c r="A62" s="321" t="s">
        <v>3</v>
      </c>
      <c r="B62" s="318">
        <f>SUM(B59:B61)</f>
        <v>1422573395.5300002</v>
      </c>
      <c r="C62" s="314"/>
      <c r="E62" s="310"/>
      <c r="F62" s="310"/>
      <c r="G62" s="310"/>
      <c r="H62" s="354"/>
    </row>
    <row r="63" spans="1:8" s="309" customFormat="1" ht="11.25">
      <c r="A63" s="317"/>
      <c r="B63" s="319"/>
      <c r="C63" s="314"/>
      <c r="E63" s="310"/>
      <c r="F63" s="310"/>
      <c r="G63" s="310"/>
      <c r="H63" s="354"/>
    </row>
    <row r="64" spans="1:8" s="309" customFormat="1" ht="11.25">
      <c r="A64" s="316" t="s">
        <v>4</v>
      </c>
      <c r="B64" s="313">
        <v>85790278.349999994</v>
      </c>
      <c r="C64" s="314">
        <f>ROUND(B64/E64,0)</f>
        <v>0</v>
      </c>
      <c r="D64" s="315">
        <v>37740</v>
      </c>
      <c r="E64" s="310">
        <f>D64*1000000</f>
        <v>37740000000</v>
      </c>
      <c r="F64" s="310">
        <f>'Notes 3.10-4.3'!H92</f>
        <v>4860639</v>
      </c>
      <c r="G64" s="310">
        <f>F64*10</f>
        <v>48606390</v>
      </c>
      <c r="H64" s="354">
        <f t="shared" si="1"/>
        <v>1.2879276629570748E-3</v>
      </c>
    </row>
    <row r="65" spans="1:8" s="309" customFormat="1" ht="11.25">
      <c r="A65" s="316" t="s">
        <v>5</v>
      </c>
      <c r="B65" s="313">
        <v>0</v>
      </c>
      <c r="C65" s="314">
        <f>B65/E65</f>
        <v>0</v>
      </c>
      <c r="D65" s="315">
        <v>3000</v>
      </c>
      <c r="E65" s="310">
        <f>D65*1000000</f>
        <v>3000000000</v>
      </c>
      <c r="F65" s="310">
        <f>'Notes 3.10-4.3'!H93</f>
        <v>0</v>
      </c>
      <c r="G65" s="310">
        <f>F65*10</f>
        <v>0</v>
      </c>
      <c r="H65" s="354">
        <f t="shared" si="1"/>
        <v>0</v>
      </c>
    </row>
    <row r="66" spans="1:8" s="309" customFormat="1" ht="11.25">
      <c r="A66" s="324" t="s">
        <v>6</v>
      </c>
      <c r="B66" s="313">
        <v>4578409.5999999996</v>
      </c>
      <c r="C66" s="314">
        <f>ROUND(B66/E66,0)</f>
        <v>0</v>
      </c>
      <c r="D66" s="315">
        <v>8605.7150000000001</v>
      </c>
      <c r="E66" s="310">
        <f>D66*1000000</f>
        <v>8605715000</v>
      </c>
      <c r="F66" s="310">
        <f>'Notes 3.10-4.3'!H94</f>
        <v>1237408</v>
      </c>
      <c r="G66" s="310">
        <f>F66*10</f>
        <v>12374080</v>
      </c>
      <c r="H66" s="354">
        <f t="shared" si="1"/>
        <v>1.437890982910775E-3</v>
      </c>
    </row>
    <row r="67" spans="1:8" s="309" customFormat="1" ht="11.25">
      <c r="A67" s="321" t="s">
        <v>7</v>
      </c>
      <c r="B67" s="318">
        <f>SUM(B64:B66)</f>
        <v>90368687.949999988</v>
      </c>
      <c r="C67" s="314"/>
      <c r="E67" s="310"/>
      <c r="F67" s="310"/>
      <c r="G67" s="310"/>
      <c r="H67" s="354"/>
    </row>
    <row r="68" spans="1:8" s="309" customFormat="1" ht="11.25">
      <c r="A68" s="325"/>
      <c r="B68" s="326"/>
      <c r="C68" s="314"/>
      <c r="E68" s="310"/>
      <c r="F68" s="310"/>
      <c r="G68" s="310"/>
      <c r="H68" s="354"/>
    </row>
    <row r="69" spans="1:8" s="309" customFormat="1" ht="11.25">
      <c r="A69" s="316" t="s">
        <v>8</v>
      </c>
      <c r="B69" s="313">
        <v>257329773.54000002</v>
      </c>
      <c r="C69" s="314">
        <f>ROUND(B69/E69,0)</f>
        <v>0</v>
      </c>
      <c r="D69" s="315">
        <v>2979.4250000000002</v>
      </c>
      <c r="E69" s="310">
        <f>D69*1000000</f>
        <v>2979425000</v>
      </c>
      <c r="F69" s="310">
        <f>'Notes 3.10-4.3'!H97</f>
        <v>1404102</v>
      </c>
      <c r="G69" s="310">
        <f>F69*10</f>
        <v>14041020</v>
      </c>
      <c r="H69" s="354">
        <f t="shared" si="1"/>
        <v>4.7126610000251725E-3</v>
      </c>
    </row>
    <row r="70" spans="1:8" s="309" customFormat="1" ht="11.25">
      <c r="A70" s="316" t="s">
        <v>9</v>
      </c>
      <c r="B70" s="313">
        <v>40126717.409999996</v>
      </c>
      <c r="C70" s="314">
        <f>ROUND(B70/E70,0)</f>
        <v>0</v>
      </c>
      <c r="D70" s="315">
        <v>9341.1</v>
      </c>
      <c r="E70" s="310">
        <f>D70*1000000</f>
        <v>9341100000</v>
      </c>
      <c r="F70" s="310">
        <f>'Notes 3.10-4.3'!H98</f>
        <v>1535657</v>
      </c>
      <c r="G70" s="310">
        <f>F70*10</f>
        <v>15356570</v>
      </c>
      <c r="H70" s="354">
        <f t="shared" si="1"/>
        <v>1.6439787605314149E-3</v>
      </c>
    </row>
    <row r="71" spans="1:8" s="309" customFormat="1" ht="11.25">
      <c r="A71" s="316" t="s">
        <v>10</v>
      </c>
      <c r="B71" s="313">
        <v>281812047</v>
      </c>
      <c r="C71" s="314">
        <f>ROUND(B71/E71,0)</f>
        <v>0</v>
      </c>
      <c r="D71" s="315">
        <v>6785.27</v>
      </c>
      <c r="E71" s="310">
        <f>D71*1000000</f>
        <v>6785270000</v>
      </c>
      <c r="F71" s="310">
        <f>'Notes 3.10-4.3'!H99</f>
        <v>2737900</v>
      </c>
      <c r="G71" s="310">
        <f>F71*10</f>
        <v>27379000</v>
      </c>
      <c r="H71" s="354">
        <f t="shared" si="1"/>
        <v>4.0350641905185789E-3</v>
      </c>
    </row>
    <row r="72" spans="1:8" s="309" customFormat="1" ht="11.25">
      <c r="A72" s="321" t="s">
        <v>11</v>
      </c>
      <c r="B72" s="318">
        <f>SUM(B69:B71)</f>
        <v>579268537.95000005</v>
      </c>
      <c r="C72" s="314"/>
      <c r="E72" s="310"/>
      <c r="F72" s="310"/>
      <c r="G72" s="310"/>
      <c r="H72" s="354"/>
    </row>
    <row r="73" spans="1:8" s="309" customFormat="1" ht="11.25">
      <c r="A73" s="316"/>
      <c r="B73" s="313"/>
      <c r="C73" s="314"/>
      <c r="E73" s="310"/>
      <c r="F73" s="310"/>
      <c r="G73" s="310"/>
      <c r="H73" s="354"/>
    </row>
    <row r="74" spans="1:8" s="309" customFormat="1" ht="11.25">
      <c r="A74" s="316" t="s">
        <v>12</v>
      </c>
      <c r="B74" s="313">
        <v>0</v>
      </c>
      <c r="C74" s="314"/>
      <c r="D74" s="315">
        <v>15142.072</v>
      </c>
      <c r="E74" s="310">
        <f>D74*1000000</f>
        <v>15142072000</v>
      </c>
      <c r="F74" s="310">
        <v>0</v>
      </c>
      <c r="G74" s="310">
        <f>F74*10</f>
        <v>0</v>
      </c>
      <c r="H74" s="354">
        <f t="shared" si="1"/>
        <v>0</v>
      </c>
    </row>
    <row r="75" spans="1:8" s="309" customFormat="1" ht="11.25">
      <c r="A75" s="316" t="s">
        <v>13</v>
      </c>
      <c r="B75" s="313">
        <v>54123031.760000005</v>
      </c>
      <c r="C75" s="314">
        <f>ROUND(B75/E75,0)</f>
        <v>0</v>
      </c>
      <c r="D75" s="315">
        <v>1388.0229999999999</v>
      </c>
      <c r="E75" s="310">
        <f>D75*1000000</f>
        <v>1388023000</v>
      </c>
      <c r="F75" s="310">
        <v>321224</v>
      </c>
      <c r="G75" s="310">
        <f>F75*10</f>
        <v>3212240</v>
      </c>
      <c r="H75" s="354">
        <f t="shared" si="1"/>
        <v>2.314255599510959E-3</v>
      </c>
    </row>
    <row r="76" spans="1:8" s="309" customFormat="1" ht="11.25">
      <c r="A76" s="317" t="s">
        <v>14</v>
      </c>
      <c r="B76" s="318">
        <f>SUM(B74:B75)</f>
        <v>54123031.760000005</v>
      </c>
      <c r="C76" s="314"/>
      <c r="E76" s="310"/>
      <c r="F76" s="310"/>
      <c r="G76" s="310"/>
      <c r="H76" s="354"/>
    </row>
    <row r="77" spans="1:8" s="309" customFormat="1" ht="11.25">
      <c r="A77" s="325"/>
      <c r="B77" s="326"/>
      <c r="C77" s="314"/>
      <c r="E77" s="310"/>
      <c r="F77" s="310"/>
      <c r="G77" s="310"/>
      <c r="H77" s="354"/>
    </row>
    <row r="78" spans="1:8" s="309" customFormat="1" ht="11.25">
      <c r="A78" s="316" t="s">
        <v>15</v>
      </c>
      <c r="B78" s="313">
        <v>0</v>
      </c>
      <c r="C78" s="314">
        <f>ROUND(B78/E78,0)</f>
        <v>0</v>
      </c>
      <c r="D78" s="315">
        <v>786</v>
      </c>
      <c r="E78" s="310">
        <f>D78*1000000</f>
        <v>786000000</v>
      </c>
      <c r="F78" s="310">
        <f>'Notes 3.10-4.3'!H106</f>
        <v>0</v>
      </c>
      <c r="G78" s="310">
        <f>F78*10</f>
        <v>0</v>
      </c>
      <c r="H78" s="354">
        <f>G78/E78</f>
        <v>0</v>
      </c>
    </row>
    <row r="79" spans="1:8" s="309" customFormat="1" ht="11.25">
      <c r="A79" s="321" t="s">
        <v>16</v>
      </c>
      <c r="B79" s="318">
        <v>0</v>
      </c>
      <c r="C79" s="314"/>
      <c r="E79" s="310"/>
      <c r="F79" s="310"/>
      <c r="G79" s="310"/>
      <c r="H79" s="354"/>
    </row>
    <row r="80" spans="1:8" s="309" customFormat="1" ht="11.25">
      <c r="A80" s="325"/>
      <c r="B80" s="326"/>
      <c r="C80" s="314"/>
      <c r="E80" s="310"/>
      <c r="F80" s="310"/>
      <c r="G80" s="310"/>
      <c r="H80" s="354"/>
    </row>
    <row r="81" spans="1:8" s="309" customFormat="1" ht="11.25">
      <c r="A81" s="316" t="s">
        <v>17</v>
      </c>
      <c r="B81" s="313">
        <v>477115.54</v>
      </c>
      <c r="C81" s="314">
        <f>ROUND(B81/E81,0)</f>
        <v>0</v>
      </c>
      <c r="D81" s="315">
        <v>1091.5319999999999</v>
      </c>
      <c r="E81" s="310">
        <f>D81*1000000</f>
        <v>1091532000</v>
      </c>
      <c r="F81" s="310">
        <f>'Notes 3.10-4.3'!H110</f>
        <v>4814</v>
      </c>
      <c r="G81" s="310">
        <f>F81*10</f>
        <v>48140</v>
      </c>
      <c r="H81" s="354">
        <f>G81/E81</f>
        <v>4.4103150434435268E-5</v>
      </c>
    </row>
    <row r="82" spans="1:8" s="309" customFormat="1" ht="11.25">
      <c r="A82" s="321" t="s">
        <v>18</v>
      </c>
      <c r="B82" s="318">
        <f>SUM(B81)</f>
        <v>477115.54</v>
      </c>
      <c r="C82" s="314"/>
      <c r="E82" s="310"/>
      <c r="F82" s="310"/>
      <c r="G82" s="310"/>
      <c r="H82" s="354"/>
    </row>
    <row r="83" spans="1:8" s="309" customFormat="1" ht="11.25">
      <c r="A83" s="325"/>
      <c r="B83" s="326"/>
      <c r="C83" s="314"/>
      <c r="E83" s="310"/>
      <c r="F83" s="310"/>
      <c r="G83" s="310"/>
      <c r="H83" s="354"/>
    </row>
    <row r="84" spans="1:8" s="309" customFormat="1" ht="11.25">
      <c r="A84" s="320" t="s">
        <v>19</v>
      </c>
      <c r="B84" s="313">
        <v>3093408</v>
      </c>
      <c r="C84" s="314">
        <f>ROUND(B84/E84,0)</f>
        <v>0</v>
      </c>
      <c r="D84" s="315">
        <v>843.79499999999996</v>
      </c>
      <c r="E84" s="310">
        <f>D84*1000000</f>
        <v>843795000</v>
      </c>
      <c r="F84" s="310">
        <f>'Notes 3.10-4.3'!H113</f>
        <v>21482</v>
      </c>
      <c r="G84" s="310">
        <f>F84*10</f>
        <v>214820</v>
      </c>
      <c r="H84" s="354">
        <f>G84/E84</f>
        <v>2.545879034599636E-4</v>
      </c>
    </row>
    <row r="85" spans="1:8" s="309" customFormat="1" ht="11.25">
      <c r="A85" s="321" t="s">
        <v>20</v>
      </c>
      <c r="B85" s="318">
        <f>SUM(B84)</f>
        <v>3093408</v>
      </c>
      <c r="F85" s="310"/>
      <c r="G85" s="310"/>
      <c r="H85" s="311"/>
    </row>
    <row r="86" spans="1:8">
      <c r="A86" s="303"/>
      <c r="B86" s="196"/>
    </row>
    <row r="87" spans="1:8">
      <c r="A87" s="195"/>
      <c r="B87" s="193"/>
    </row>
  </sheetData>
  <phoneticPr fontId="11" type="noConversion"/>
  <printOptions horizontalCentered="1"/>
  <pageMargins left="0.5" right="0.25" top="0.5" bottom="0.25" header="0.3" footer="0.3"/>
  <pageSetup paperSize="9" fitToHeight="3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H36"/>
  <sheetViews>
    <sheetView view="pageBreakPreview" zoomScaleSheetLayoutView="100" workbookViewId="0"/>
  </sheetViews>
  <sheetFormatPr defaultRowHeight="15.75"/>
  <cols>
    <col min="1" max="1" width="3.625" customWidth="1"/>
    <col min="2" max="2" width="37.125" customWidth="1"/>
    <col min="3" max="3" width="9.125" customWidth="1"/>
    <col min="4" max="4" width="1.5" customWidth="1"/>
    <col min="5" max="5" width="9.375" customWidth="1"/>
    <col min="6" max="6" width="1.5" customWidth="1"/>
    <col min="7" max="7" width="9.125" customWidth="1"/>
    <col min="8" max="8" width="1.5" customWidth="1"/>
  </cols>
  <sheetData>
    <row r="1" spans="1:8">
      <c r="A1" s="216" t="str">
        <f>'Distribution '!A1</f>
        <v>NIT - EQUITY MARKET OPPORTUNITY  FUND</v>
      </c>
      <c r="B1" s="216"/>
      <c r="C1" s="45"/>
      <c r="D1" s="45"/>
      <c r="E1" s="44"/>
      <c r="F1" s="68"/>
      <c r="G1" s="68"/>
      <c r="H1" s="68"/>
    </row>
    <row r="2" spans="1:8">
      <c r="A2" s="4" t="s">
        <v>443</v>
      </c>
      <c r="B2" s="44"/>
      <c r="C2" s="45"/>
      <c r="D2" s="45"/>
      <c r="E2" s="69"/>
      <c r="F2" s="68"/>
      <c r="G2" s="68"/>
      <c r="H2" s="68"/>
    </row>
    <row r="3" spans="1:8">
      <c r="A3" s="44" t="str">
        <f>UHF!A3</f>
        <v>FOR THE QUARTER ENDED SEPTEMBER 30, 2015</v>
      </c>
      <c r="B3" s="44"/>
      <c r="C3" s="45"/>
      <c r="D3" s="45"/>
      <c r="E3" s="44"/>
      <c r="F3" s="68"/>
      <c r="G3" s="68"/>
      <c r="H3" s="68"/>
    </row>
    <row r="4" spans="1:8">
      <c r="A4" s="44"/>
      <c r="B4" s="44"/>
      <c r="C4" s="45"/>
      <c r="D4" s="45"/>
      <c r="E4" s="44"/>
      <c r="F4" s="68"/>
      <c r="G4" s="68"/>
      <c r="H4" s="68"/>
    </row>
    <row r="5" spans="1:8">
      <c r="A5" s="44"/>
      <c r="B5" s="44"/>
      <c r="C5" s="45"/>
      <c r="D5" s="45"/>
      <c r="E5" s="44"/>
      <c r="F5" s="68"/>
      <c r="G5" s="68"/>
      <c r="H5" s="68"/>
    </row>
    <row r="6" spans="1:8">
      <c r="A6" s="44"/>
      <c r="B6" s="44"/>
      <c r="C6" s="861" t="s">
        <v>483</v>
      </c>
      <c r="D6" s="541"/>
      <c r="E6" s="861" t="s">
        <v>484</v>
      </c>
      <c r="F6" s="543"/>
      <c r="G6" s="864" t="s">
        <v>469</v>
      </c>
      <c r="H6" s="68"/>
    </row>
    <row r="7" spans="1:8">
      <c r="A7" s="44"/>
      <c r="B7" s="44"/>
      <c r="C7" s="862"/>
      <c r="D7" s="542"/>
      <c r="E7" s="862"/>
      <c r="F7" s="544"/>
      <c r="G7" s="865"/>
      <c r="H7" s="68"/>
    </row>
    <row r="8" spans="1:8">
      <c r="A8" s="44"/>
      <c r="B8" s="44"/>
      <c r="C8" s="862"/>
      <c r="D8" s="542"/>
      <c r="E8" s="862"/>
      <c r="F8" s="544"/>
      <c r="G8" s="865"/>
      <c r="H8" s="68"/>
    </row>
    <row r="9" spans="1:8">
      <c r="A9" s="444"/>
      <c r="B9" s="445"/>
      <c r="C9" s="863"/>
      <c r="D9" s="529"/>
      <c r="E9" s="863"/>
      <c r="F9" s="530"/>
      <c r="G9" s="866"/>
      <c r="H9" s="535"/>
    </row>
    <row r="10" spans="1:8">
      <c r="A10" s="450"/>
      <c r="B10" s="450"/>
      <c r="C10" s="555" t="s">
        <v>23</v>
      </c>
      <c r="D10" s="556"/>
      <c r="E10" s="555" t="s">
        <v>81</v>
      </c>
      <c r="F10" s="557"/>
      <c r="G10" s="555" t="s">
        <v>436</v>
      </c>
      <c r="H10" s="534"/>
    </row>
    <row r="11" spans="1:8">
      <c r="A11" s="419"/>
      <c r="B11" s="418"/>
      <c r="C11" s="858" t="s">
        <v>420</v>
      </c>
      <c r="D11" s="858"/>
      <c r="E11" s="858"/>
      <c r="F11" s="858"/>
      <c r="G11" s="858"/>
      <c r="H11" s="858"/>
    </row>
    <row r="13" spans="1:8">
      <c r="A13" s="439" t="s">
        <v>397</v>
      </c>
    </row>
    <row r="14" spans="1:8">
      <c r="A14" s="443" t="s">
        <v>398</v>
      </c>
    </row>
    <row r="15" spans="1:8">
      <c r="A15" s="440" t="s">
        <v>279</v>
      </c>
      <c r="C15" s="525" t="e">
        <f>'4'!#REF!</f>
        <v>#REF!</v>
      </c>
      <c r="D15" s="525"/>
      <c r="E15" s="525" t="e">
        <f>#REF!</f>
        <v>#REF!</v>
      </c>
      <c r="F15" s="525"/>
      <c r="G15" s="525" t="e">
        <f>C15-E15</f>
        <v>#REF!</v>
      </c>
    </row>
    <row r="16" spans="1:8">
      <c r="A16" s="440" t="s">
        <v>462</v>
      </c>
      <c r="C16" s="525">
        <v>4905</v>
      </c>
      <c r="D16" s="525"/>
      <c r="E16" s="525" t="e">
        <f>#REF!</f>
        <v>#REF!</v>
      </c>
      <c r="F16" s="525"/>
      <c r="G16" s="525" t="e">
        <f>C16-E16</f>
        <v>#REF!</v>
      </c>
    </row>
    <row r="17" spans="1:7" s="628" customFormat="1">
      <c r="A17" s="438"/>
      <c r="C17" s="525"/>
      <c r="D17" s="525"/>
      <c r="E17" s="525"/>
      <c r="F17" s="525"/>
      <c r="G17" s="525"/>
    </row>
    <row r="18" spans="1:7">
      <c r="A18" s="439" t="s">
        <v>399</v>
      </c>
      <c r="C18" s="525"/>
      <c r="D18" s="525"/>
      <c r="E18" s="525"/>
      <c r="F18" s="525"/>
      <c r="G18" s="525"/>
    </row>
    <row r="19" spans="1:7">
      <c r="A19" s="443" t="s">
        <v>400</v>
      </c>
      <c r="C19" s="525"/>
      <c r="D19" s="525"/>
      <c r="E19" s="525"/>
      <c r="F19" s="525"/>
      <c r="G19" s="525"/>
    </row>
    <row r="20" spans="1:7">
      <c r="A20" s="440" t="s">
        <v>383</v>
      </c>
      <c r="C20" s="525" t="e">
        <f>'4'!#REF!</f>
        <v>#REF!</v>
      </c>
      <c r="D20" s="525"/>
      <c r="E20" s="525">
        <v>564</v>
      </c>
      <c r="F20" s="525"/>
      <c r="G20" s="525" t="e">
        <f t="shared" ref="G20:G21" si="0">C20-E20</f>
        <v>#REF!</v>
      </c>
    </row>
    <row r="21" spans="1:7">
      <c r="A21" s="440" t="s">
        <v>123</v>
      </c>
      <c r="C21" s="525" t="e">
        <f>'4'!#REF!</f>
        <v>#REF!</v>
      </c>
      <c r="D21" s="525"/>
      <c r="E21" s="525">
        <v>6</v>
      </c>
      <c r="F21" s="525"/>
      <c r="G21" s="525" t="e">
        <f t="shared" si="0"/>
        <v>#REF!</v>
      </c>
    </row>
    <row r="22" spans="1:7">
      <c r="A22" s="438"/>
      <c r="C22" s="525"/>
      <c r="D22" s="525"/>
      <c r="E22" s="525"/>
      <c r="F22" s="525"/>
      <c r="G22" s="525"/>
    </row>
    <row r="23" spans="1:7">
      <c r="A23" s="439" t="s">
        <v>125</v>
      </c>
      <c r="C23" s="525"/>
      <c r="D23" s="525"/>
      <c r="E23" s="525"/>
      <c r="F23" s="525"/>
      <c r="G23" s="525"/>
    </row>
    <row r="24" spans="1:7">
      <c r="A24" s="440" t="s">
        <v>492</v>
      </c>
      <c r="C24" s="525">
        <f>'4'!H44</f>
        <v>235781</v>
      </c>
      <c r="D24" s="525"/>
      <c r="E24" s="525">
        <v>88387</v>
      </c>
      <c r="F24" s="525"/>
      <c r="G24" s="525">
        <f t="shared" ref="G24:G27" si="1">C24-E24</f>
        <v>147394</v>
      </c>
    </row>
    <row r="25" spans="1:7">
      <c r="A25" s="440" t="s">
        <v>470</v>
      </c>
      <c r="C25" s="525">
        <f>'4'!H45</f>
        <v>695907</v>
      </c>
      <c r="D25" s="525"/>
      <c r="E25" s="525">
        <v>6000</v>
      </c>
      <c r="F25" s="525"/>
      <c r="G25" s="525">
        <f t="shared" si="1"/>
        <v>689907</v>
      </c>
    </row>
    <row r="26" spans="1:7" hidden="1">
      <c r="A26" s="440" t="s">
        <v>441</v>
      </c>
      <c r="C26" s="525" t="e">
        <f>'4'!#REF!</f>
        <v>#REF!</v>
      </c>
      <c r="D26" s="525"/>
      <c r="E26" s="525">
        <v>6826</v>
      </c>
      <c r="F26" s="525"/>
      <c r="G26" s="525" t="e">
        <f t="shared" si="1"/>
        <v>#REF!</v>
      </c>
    </row>
    <row r="27" spans="1:7" hidden="1">
      <c r="A27" s="440" t="s">
        <v>442</v>
      </c>
      <c r="C27" s="525" t="e">
        <f>'4'!#REF!</f>
        <v>#REF!</v>
      </c>
      <c r="D27" s="525"/>
      <c r="E27" s="525">
        <v>0</v>
      </c>
      <c r="F27" s="525"/>
      <c r="G27" s="525" t="e">
        <f t="shared" si="1"/>
        <v>#REF!</v>
      </c>
    </row>
    <row r="28" spans="1:7">
      <c r="A28" s="520"/>
      <c r="C28" s="525"/>
      <c r="D28" s="525"/>
      <c r="E28" s="525"/>
      <c r="F28" s="525"/>
      <c r="G28" s="525"/>
    </row>
    <row r="29" spans="1:7">
      <c r="A29" s="439" t="s">
        <v>124</v>
      </c>
      <c r="C29" s="525"/>
      <c r="D29" s="525"/>
      <c r="E29" s="525"/>
      <c r="F29" s="525"/>
      <c r="G29" s="525"/>
    </row>
    <row r="30" spans="1:7">
      <c r="A30" s="440" t="s">
        <v>494</v>
      </c>
      <c r="C30" s="525">
        <f>'4'!H48</f>
        <v>238930</v>
      </c>
      <c r="D30" s="525"/>
      <c r="E30" s="525">
        <v>89568</v>
      </c>
      <c r="F30" s="525"/>
      <c r="G30" s="525">
        <f t="shared" ref="G30:G31" si="2">C30-E30</f>
        <v>149362</v>
      </c>
    </row>
    <row r="31" spans="1:7">
      <c r="A31" s="440" t="s">
        <v>471</v>
      </c>
      <c r="C31" s="525">
        <f>'4'!H49</f>
        <v>705201</v>
      </c>
      <c r="D31" s="525"/>
      <c r="E31" s="525">
        <v>0</v>
      </c>
      <c r="F31" s="525"/>
      <c r="G31" s="525">
        <f t="shared" si="2"/>
        <v>705201</v>
      </c>
    </row>
    <row r="32" spans="1:7">
      <c r="A32" s="440"/>
      <c r="C32" s="525"/>
      <c r="D32" s="525"/>
      <c r="E32" s="525"/>
      <c r="F32" s="525"/>
      <c r="G32" s="525"/>
    </row>
    <row r="33" spans="1:7">
      <c r="A33" s="439" t="s">
        <v>255</v>
      </c>
      <c r="C33" s="525"/>
      <c r="D33" s="525"/>
      <c r="E33" s="525"/>
      <c r="F33" s="525"/>
      <c r="G33" s="525"/>
    </row>
    <row r="34" spans="1:7">
      <c r="A34" s="440" t="s">
        <v>493</v>
      </c>
      <c r="C34" s="525">
        <f>'4'!H52</f>
        <v>291897</v>
      </c>
      <c r="D34" s="525"/>
      <c r="E34" s="525">
        <v>103952</v>
      </c>
      <c r="F34" s="525"/>
      <c r="G34" s="525">
        <f t="shared" ref="G34:G35" si="3">C34-E34</f>
        <v>187945</v>
      </c>
    </row>
    <row r="35" spans="1:7" hidden="1">
      <c r="A35" s="440" t="s">
        <v>431</v>
      </c>
      <c r="C35" s="525">
        <f>'4'!H53</f>
        <v>496579</v>
      </c>
      <c r="D35" s="525"/>
      <c r="E35" s="525">
        <v>0</v>
      </c>
      <c r="F35" s="525"/>
      <c r="G35" s="525">
        <f t="shared" si="3"/>
        <v>496579</v>
      </c>
    </row>
    <row r="36" spans="1:7">
      <c r="C36" s="560"/>
      <c r="D36" s="560"/>
      <c r="E36" s="560"/>
      <c r="F36" s="560"/>
      <c r="G36" s="560"/>
    </row>
  </sheetData>
  <mergeCells count="4">
    <mergeCell ref="C6:C9"/>
    <mergeCell ref="E6:E9"/>
    <mergeCell ref="G6:G9"/>
    <mergeCell ref="C11:H11"/>
  </mergeCells>
  <conditionalFormatting sqref="E2">
    <cfRule type="cellIs" dxfId="1" priority="1" stopIfTrue="1" operator="notEqual">
      <formula>0</formula>
    </cfRule>
  </conditionalFormatting>
  <pageMargins left="0.7" right="0.7" top="0.75" bottom="0.75" header="0.3" footer="0.3"/>
  <pageSetup scale="11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108"/>
  <sheetViews>
    <sheetView workbookViewId="0">
      <selection activeCell="E20" sqref="E20"/>
    </sheetView>
  </sheetViews>
  <sheetFormatPr defaultColWidth="10.25" defaultRowHeight="12"/>
  <cols>
    <col min="1" max="1" width="5.125" style="47" customWidth="1"/>
    <col min="2" max="2" width="3.625" style="47" customWidth="1"/>
    <col min="3" max="3" width="29.625" style="47" customWidth="1"/>
    <col min="4" max="4" width="4.25" style="47" customWidth="1"/>
    <col min="5" max="5" width="9.125" style="47" customWidth="1"/>
    <col min="6" max="6" width="1.5" style="47" customWidth="1"/>
    <col min="7" max="7" width="9.375" style="47" customWidth="1"/>
    <col min="8" max="8" width="1.5" style="47" customWidth="1"/>
    <col min="9" max="9" width="9.125" style="47" customWidth="1"/>
    <col min="10" max="10" width="1.5" style="47" customWidth="1"/>
    <col min="11" max="11" width="10.25" style="47"/>
    <col min="12" max="14" width="10.25" style="363"/>
    <col min="15" max="16384" width="10.25" style="47"/>
  </cols>
  <sheetData>
    <row r="1" spans="1:19">
      <c r="A1" s="44" t="str">
        <f>COI!A1</f>
        <v>NIT - EQUITY MARKET OPPORTUNITY  FUND</v>
      </c>
      <c r="B1" s="44"/>
      <c r="C1" s="44"/>
      <c r="D1" s="44"/>
      <c r="E1" s="44"/>
      <c r="F1" s="44"/>
      <c r="G1" s="44"/>
      <c r="L1" s="47"/>
      <c r="M1" s="47"/>
      <c r="N1" s="47"/>
    </row>
    <row r="2" spans="1:19">
      <c r="A2" s="62" t="s">
        <v>439</v>
      </c>
      <c r="B2" s="44"/>
      <c r="C2" s="44"/>
      <c r="D2" s="44"/>
      <c r="E2" s="44"/>
      <c r="F2" s="44"/>
      <c r="G2" s="44"/>
      <c r="L2" s="47"/>
      <c r="M2" s="47"/>
      <c r="N2" s="47"/>
    </row>
    <row r="3" spans="1:19">
      <c r="A3" s="106" t="str">
        <f>COI!A3</f>
        <v>FOR THE QUARTER ENDED SEPTEMBER 30, 2015</v>
      </c>
      <c r="B3" s="44"/>
      <c r="C3" s="44"/>
      <c r="D3" s="44"/>
      <c r="E3" s="44"/>
      <c r="F3" s="44"/>
      <c r="G3" s="44"/>
      <c r="L3" s="47"/>
      <c r="M3" s="47"/>
      <c r="N3" s="47"/>
    </row>
    <row r="4" spans="1:19">
      <c r="A4" s="28"/>
      <c r="B4" s="44"/>
      <c r="C4" s="44"/>
      <c r="D4" s="44"/>
      <c r="E4" s="44"/>
      <c r="F4" s="44"/>
      <c r="G4" s="44"/>
      <c r="L4" s="47"/>
      <c r="M4" s="47"/>
      <c r="N4" s="47"/>
    </row>
    <row r="5" spans="1:19">
      <c r="A5" s="176"/>
      <c r="B5" s="44"/>
      <c r="C5" s="44"/>
      <c r="D5" s="44"/>
      <c r="E5" s="44"/>
      <c r="F5" s="44"/>
      <c r="G5" s="44"/>
      <c r="L5" s="47"/>
      <c r="M5" s="47"/>
      <c r="N5" s="47"/>
    </row>
    <row r="6" spans="1:19" s="449" customFormat="1" ht="11.25" customHeight="1">
      <c r="A6" s="444"/>
      <c r="B6" s="444"/>
      <c r="C6" s="444"/>
      <c r="D6" s="937" t="s">
        <v>432</v>
      </c>
      <c r="E6" s="859" t="s">
        <v>483</v>
      </c>
      <c r="F6" s="528"/>
      <c r="G6" s="859" t="s">
        <v>484</v>
      </c>
      <c r="H6" s="537"/>
      <c r="I6" s="859" t="s">
        <v>435</v>
      </c>
      <c r="J6" s="535"/>
      <c r="K6" s="532"/>
      <c r="L6" s="447"/>
      <c r="M6" s="448"/>
      <c r="N6" s="447"/>
      <c r="O6" s="447"/>
      <c r="P6" s="447"/>
      <c r="Q6" s="447"/>
      <c r="R6" s="447"/>
      <c r="S6" s="447"/>
    </row>
    <row r="7" spans="1:19" s="449" customFormat="1" ht="11.25" customHeight="1">
      <c r="A7" s="444"/>
      <c r="B7" s="444"/>
      <c r="C7" s="444"/>
      <c r="D7" s="938"/>
      <c r="E7" s="940"/>
      <c r="F7" s="533"/>
      <c r="G7" s="940"/>
      <c r="H7" s="531"/>
      <c r="I7" s="940"/>
      <c r="J7" s="533"/>
      <c r="K7" s="532"/>
      <c r="L7" s="447"/>
      <c r="M7" s="448"/>
      <c r="N7" s="447"/>
      <c r="O7" s="447"/>
      <c r="P7" s="447"/>
      <c r="Q7" s="447"/>
      <c r="R7" s="447"/>
      <c r="S7" s="447"/>
    </row>
    <row r="8" spans="1:19" s="449" customFormat="1" ht="11.25" customHeight="1">
      <c r="A8" s="444"/>
      <c r="B8" s="444"/>
      <c r="C8" s="444"/>
      <c r="D8" s="938"/>
      <c r="E8" s="940"/>
      <c r="F8" s="533"/>
      <c r="G8" s="940"/>
      <c r="H8" s="531"/>
      <c r="I8" s="940"/>
      <c r="J8" s="533"/>
      <c r="K8" s="532"/>
      <c r="L8" s="447"/>
      <c r="M8" s="448"/>
      <c r="N8" s="447"/>
      <c r="O8" s="447"/>
      <c r="P8" s="447"/>
      <c r="Q8" s="447"/>
      <c r="R8" s="447"/>
      <c r="S8" s="447"/>
    </row>
    <row r="9" spans="1:19" s="449" customFormat="1" ht="11.25" customHeight="1">
      <c r="A9" s="444"/>
      <c r="B9" s="444"/>
      <c r="C9" s="444"/>
      <c r="D9" s="939"/>
      <c r="E9" s="941"/>
      <c r="F9" s="536"/>
      <c r="G9" s="941"/>
      <c r="H9" s="530"/>
      <c r="I9" s="941"/>
      <c r="J9" s="533"/>
      <c r="K9" s="532"/>
      <c r="L9" s="447"/>
      <c r="M9" s="448"/>
      <c r="N9" s="447"/>
      <c r="O9" s="447"/>
      <c r="P9" s="447"/>
      <c r="Q9" s="447"/>
      <c r="R9" s="447"/>
      <c r="S9" s="447"/>
    </row>
    <row r="10" spans="1:19" s="449" customFormat="1" ht="11.25" customHeight="1">
      <c r="A10" s="444"/>
      <c r="B10" s="444"/>
      <c r="C10" s="444"/>
      <c r="D10" s="545"/>
      <c r="E10" s="546" t="s">
        <v>23</v>
      </c>
      <c r="F10" s="533"/>
      <c r="G10" s="546" t="s">
        <v>81</v>
      </c>
      <c r="H10" s="531"/>
      <c r="I10" s="546" t="s">
        <v>436</v>
      </c>
      <c r="J10" s="533"/>
      <c r="K10" s="532"/>
      <c r="L10" s="447"/>
      <c r="M10" s="448"/>
      <c r="N10" s="447"/>
      <c r="O10" s="447"/>
      <c r="P10" s="447"/>
      <c r="Q10" s="447"/>
      <c r="R10" s="447"/>
      <c r="S10" s="447"/>
    </row>
    <row r="11" spans="1:19">
      <c r="D11" s="478"/>
      <c r="E11" s="858" t="s">
        <v>420</v>
      </c>
      <c r="F11" s="858"/>
      <c r="G11" s="858"/>
      <c r="H11" s="858"/>
      <c r="I11" s="858"/>
      <c r="J11" s="858"/>
      <c r="L11" s="47"/>
      <c r="M11" s="47"/>
      <c r="N11" s="47"/>
    </row>
    <row r="12" spans="1:19">
      <c r="A12" s="47" t="s">
        <v>269</v>
      </c>
      <c r="E12" s="64">
        <v>379347</v>
      </c>
      <c r="G12" s="64">
        <v>379347</v>
      </c>
      <c r="I12" s="64" t="e">
        <f>G21</f>
        <v>#REF!</v>
      </c>
      <c r="L12" s="207"/>
      <c r="N12" s="207"/>
    </row>
    <row r="13" spans="1:19">
      <c r="E13" s="18"/>
      <c r="G13" s="18"/>
      <c r="I13" s="18"/>
      <c r="L13" s="21"/>
      <c r="N13" s="21"/>
    </row>
    <row r="14" spans="1:19">
      <c r="A14" s="47" t="s">
        <v>265</v>
      </c>
      <c r="E14" s="18">
        <f>'Distribution '!F18</f>
        <v>91088</v>
      </c>
      <c r="G14" s="18">
        <v>180443</v>
      </c>
      <c r="I14" s="18">
        <f>E14-G14</f>
        <v>-89355</v>
      </c>
      <c r="L14" s="21"/>
      <c r="N14" s="207"/>
    </row>
    <row r="15" spans="1:19">
      <c r="E15" s="18"/>
      <c r="G15" s="18"/>
      <c r="I15" s="18"/>
      <c r="L15" s="21"/>
      <c r="N15" s="21"/>
    </row>
    <row r="16" spans="1:19">
      <c r="A16" s="507" t="s">
        <v>421</v>
      </c>
      <c r="E16" s="18"/>
      <c r="G16" s="18"/>
      <c r="I16" s="18"/>
      <c r="L16" s="21"/>
      <c r="N16" s="21"/>
    </row>
    <row r="17" spans="1:14">
      <c r="A17" s="507" t="s">
        <v>422</v>
      </c>
      <c r="E17" s="18"/>
      <c r="G17" s="18"/>
      <c r="I17" s="18"/>
      <c r="L17" s="21"/>
      <c r="N17" s="207"/>
    </row>
    <row r="18" spans="1:14">
      <c r="A18" s="451"/>
      <c r="B18" s="47" t="s">
        <v>423</v>
      </c>
      <c r="E18" s="18"/>
      <c r="G18" s="18"/>
      <c r="I18" s="18"/>
      <c r="L18" s="21"/>
      <c r="N18" s="207"/>
    </row>
    <row r="19" spans="1:14">
      <c r="B19" s="471" t="s">
        <v>411</v>
      </c>
      <c r="E19" s="18" t="e">
        <f>ROUND('Distribution '!#REF!,0)</f>
        <v>#REF!</v>
      </c>
      <c r="G19" s="18" t="e">
        <f>E19</f>
        <v>#REF!</v>
      </c>
      <c r="I19" s="64" t="e">
        <f>E19-G19</f>
        <v>#REF!</v>
      </c>
      <c r="L19" s="21"/>
      <c r="N19" s="21"/>
    </row>
    <row r="20" spans="1:14">
      <c r="B20" s="471"/>
      <c r="E20" s="18"/>
      <c r="G20" s="18"/>
      <c r="I20" s="18"/>
      <c r="L20" s="21"/>
      <c r="N20" s="21"/>
    </row>
    <row r="21" spans="1:14" ht="12.75" thickBot="1">
      <c r="A21" s="65" t="s">
        <v>28</v>
      </c>
      <c r="B21" s="65"/>
      <c r="E21" s="20" t="e">
        <f>SUM(E12:E19)</f>
        <v>#REF!</v>
      </c>
      <c r="G21" s="20" t="e">
        <f>SUM(G12:G19)</f>
        <v>#REF!</v>
      </c>
      <c r="I21" s="20" t="e">
        <f>SUM(I12:I19)</f>
        <v>#REF!</v>
      </c>
      <c r="L21" s="21"/>
      <c r="N21" s="21"/>
    </row>
    <row r="22" spans="1:14" ht="12.75" thickTop="1">
      <c r="A22" s="54"/>
      <c r="B22" s="54"/>
      <c r="E22" s="64"/>
      <c r="G22" s="64"/>
      <c r="I22" s="64"/>
      <c r="K22" s="56"/>
      <c r="L22" s="207"/>
      <c r="N22" s="207"/>
    </row>
    <row r="23" spans="1:14">
      <c r="A23" s="54" t="s">
        <v>363</v>
      </c>
      <c r="B23" s="54"/>
      <c r="E23" s="64"/>
      <c r="G23" s="64"/>
      <c r="I23" s="64"/>
      <c r="L23" s="207"/>
      <c r="N23" s="207"/>
    </row>
    <row r="24" spans="1:14" ht="10.5" customHeight="1">
      <c r="A24" s="54"/>
      <c r="B24" s="54"/>
      <c r="E24" s="64"/>
      <c r="G24" s="64"/>
      <c r="I24" s="64"/>
      <c r="L24" s="207"/>
      <c r="N24" s="207"/>
    </row>
    <row r="25" spans="1:14">
      <c r="A25" s="47" t="s">
        <v>29</v>
      </c>
      <c r="B25" s="54"/>
      <c r="E25" s="64" t="e">
        <f>E21-E27</f>
        <v>#REF!</v>
      </c>
      <c r="G25" s="64" t="e">
        <f>G21-G27</f>
        <v>#REF!</v>
      </c>
      <c r="I25" s="64" t="e">
        <f>I21-I27</f>
        <v>#REF!</v>
      </c>
      <c r="L25" s="207"/>
      <c r="N25" s="207"/>
    </row>
    <row r="26" spans="1:14">
      <c r="B26" s="54"/>
      <c r="E26" s="64"/>
      <c r="G26" s="64"/>
      <c r="I26" s="64"/>
      <c r="K26" s="56" t="e">
        <f>E25-I25</f>
        <v>#REF!</v>
      </c>
      <c r="L26" s="207"/>
      <c r="N26" s="207"/>
    </row>
    <row r="27" spans="1:14">
      <c r="A27" s="47" t="s">
        <v>30</v>
      </c>
      <c r="B27" s="54"/>
      <c r="E27" s="64">
        <f>'Distribution '!F26</f>
        <v>-9861</v>
      </c>
      <c r="G27" s="64">
        <v>0</v>
      </c>
      <c r="I27" s="64" t="e">
        <f>IS!#REF!</f>
        <v>#REF!</v>
      </c>
      <c r="L27" s="207"/>
      <c r="N27" s="207"/>
    </row>
    <row r="28" spans="1:14">
      <c r="B28" s="54"/>
      <c r="E28" s="64"/>
      <c r="G28" s="64"/>
      <c r="I28" s="64"/>
      <c r="L28" s="207"/>
      <c r="N28" s="207"/>
    </row>
    <row r="29" spans="1:14" ht="12.75" thickBot="1">
      <c r="A29" s="54"/>
      <c r="B29" s="54"/>
      <c r="E29" s="452" t="e">
        <f>SUM(E25:E27)</f>
        <v>#REF!</v>
      </c>
      <c r="G29" s="452" t="e">
        <f>SUM(G25:G27)</f>
        <v>#REF!</v>
      </c>
      <c r="I29" s="452" t="e">
        <f>SUM(I25:I27)</f>
        <v>#REF!</v>
      </c>
      <c r="L29" s="207"/>
      <c r="N29" s="207"/>
    </row>
    <row r="30" spans="1:14" ht="12.75" thickTop="1">
      <c r="A30" s="54"/>
      <c r="B30" s="54"/>
      <c r="G30" s="64"/>
    </row>
    <row r="69" spans="3:8">
      <c r="C69" s="47" t="s">
        <v>31</v>
      </c>
    </row>
    <row r="71" spans="3:8">
      <c r="G71" s="47">
        <f>SUM(G51:G70)</f>
        <v>0</v>
      </c>
      <c r="H71" s="47" t="e">
        <v>#VALUE!</v>
      </c>
    </row>
    <row r="74" spans="3:8">
      <c r="H74" s="47" t="e">
        <v>#VALUE!</v>
      </c>
    </row>
    <row r="105" spans="7:8">
      <c r="G105" s="47">
        <f>SUM(G91:G103)</f>
        <v>0</v>
      </c>
      <c r="H105" s="47" t="e">
        <v>#VALUE!</v>
      </c>
    </row>
    <row r="108" spans="7:8">
      <c r="G108" s="47">
        <f>G105</f>
        <v>0</v>
      </c>
      <c r="H108" s="47" t="e">
        <v>#VALUE!</v>
      </c>
    </row>
  </sheetData>
  <mergeCells count="5">
    <mergeCell ref="D6:D9"/>
    <mergeCell ref="E11:J11"/>
    <mergeCell ref="E6:E9"/>
    <mergeCell ref="G6:G9"/>
    <mergeCell ref="I6:I9"/>
  </mergeCells>
  <printOptions horizontalCentered="1"/>
  <pageMargins left="0.75" right="0.5" top="0.5" bottom="0.25" header="0.5" footer="0.3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6"/>
  </sheetPr>
  <dimension ref="A1:H53"/>
  <sheetViews>
    <sheetView view="pageBreakPreview" topLeftCell="A31" zoomScaleSheetLayoutView="100" workbookViewId="0">
      <selection activeCell="A54" sqref="A54:XFD69"/>
    </sheetView>
  </sheetViews>
  <sheetFormatPr defaultRowHeight="12"/>
  <cols>
    <col min="1" max="1" width="5.125" style="3" customWidth="1"/>
    <col min="2" max="2" width="3.625" style="3" customWidth="1"/>
    <col min="3" max="3" width="41.625" style="3" customWidth="1"/>
    <col min="4" max="5" width="5.625" style="3" customWidth="1"/>
    <col min="6" max="6" width="10.375" style="6" customWidth="1"/>
    <col min="7" max="7" width="1.625" style="6" customWidth="1"/>
    <col min="8" max="8" width="10.375" style="3" customWidth="1"/>
    <col min="9" max="16384" width="9" style="3"/>
  </cols>
  <sheetData>
    <row r="1" spans="1:8">
      <c r="A1" s="1" t="s">
        <v>236</v>
      </c>
      <c r="B1" s="1"/>
      <c r="C1" s="1"/>
      <c r="D1" s="1"/>
      <c r="E1" s="1"/>
      <c r="F1" s="2"/>
      <c r="G1" s="2"/>
      <c r="H1" s="1"/>
    </row>
    <row r="2" spans="1:8">
      <c r="A2" s="4" t="s">
        <v>180</v>
      </c>
      <c r="B2" s="1"/>
      <c r="C2" s="1"/>
      <c r="D2" s="1"/>
      <c r="E2" s="1"/>
      <c r="F2" s="2"/>
      <c r="G2" s="2"/>
      <c r="H2" s="1"/>
    </row>
    <row r="3" spans="1:8">
      <c r="A3" s="714" t="s">
        <v>622</v>
      </c>
      <c r="B3" s="1"/>
      <c r="C3" s="1"/>
      <c r="D3" s="1"/>
      <c r="E3" s="1"/>
      <c r="F3" s="2"/>
      <c r="G3" s="2"/>
      <c r="H3" s="1"/>
    </row>
    <row r="4" spans="1:8">
      <c r="A4" s="4"/>
      <c r="B4" s="1"/>
      <c r="C4" s="1"/>
      <c r="D4" s="1"/>
      <c r="E4" s="1"/>
      <c r="F4" s="2"/>
      <c r="G4" s="2"/>
      <c r="H4" s="1"/>
    </row>
    <row r="5" spans="1:8" ht="24">
      <c r="A5" s="613"/>
      <c r="B5" s="360"/>
      <c r="C5" s="360"/>
      <c r="D5" s="360"/>
      <c r="E5" s="614" t="s">
        <v>237</v>
      </c>
      <c r="F5" s="726" t="s">
        <v>620</v>
      </c>
      <c r="G5" s="665"/>
      <c r="H5" s="727" t="s">
        <v>621</v>
      </c>
    </row>
    <row r="6" spans="1:8">
      <c r="A6" s="1"/>
      <c r="B6" s="1"/>
      <c r="C6" s="1"/>
      <c r="D6" s="1"/>
      <c r="E6" s="567"/>
      <c r="F6" s="718" t="s">
        <v>271</v>
      </c>
      <c r="G6" s="715"/>
      <c r="H6" s="718" t="s">
        <v>181</v>
      </c>
    </row>
    <row r="7" spans="1:8">
      <c r="F7" s="853" t="s">
        <v>179</v>
      </c>
      <c r="G7" s="853"/>
      <c r="H7" s="853"/>
    </row>
    <row r="8" spans="1:8">
      <c r="A8" s="7" t="s">
        <v>200</v>
      </c>
      <c r="F8" s="40"/>
      <c r="G8" s="562"/>
      <c r="H8" s="40"/>
    </row>
    <row r="9" spans="1:8">
      <c r="A9" s="7"/>
      <c r="F9" s="40"/>
      <c r="G9" s="627"/>
      <c r="H9" s="40"/>
    </row>
    <row r="10" spans="1:8">
      <c r="A10" s="10" t="s">
        <v>238</v>
      </c>
      <c r="B10" s="10"/>
      <c r="E10" s="387"/>
      <c r="F10" s="12">
        <v>145446</v>
      </c>
      <c r="G10" s="11"/>
      <c r="H10" s="12">
        <v>673008</v>
      </c>
    </row>
    <row r="11" spans="1:8">
      <c r="A11" s="10" t="s">
        <v>239</v>
      </c>
      <c r="B11" s="10"/>
      <c r="E11" s="387">
        <v>3</v>
      </c>
      <c r="F11" s="15">
        <v>7433459</v>
      </c>
      <c r="G11" s="14"/>
      <c r="H11" s="15">
        <v>7728403</v>
      </c>
    </row>
    <row r="12" spans="1:8" hidden="1">
      <c r="A12" s="10" t="s">
        <v>393</v>
      </c>
      <c r="B12" s="10"/>
      <c r="F12" s="15">
        <v>0</v>
      </c>
      <c r="G12" s="14"/>
      <c r="H12" s="15">
        <v>0</v>
      </c>
    </row>
    <row r="13" spans="1:8" s="669" customFormat="1">
      <c r="A13" s="10" t="s">
        <v>619</v>
      </c>
      <c r="B13" s="10"/>
      <c r="F13" s="15">
        <v>3013</v>
      </c>
      <c r="G13" s="14"/>
      <c r="H13" s="15">
        <v>0</v>
      </c>
    </row>
    <row r="14" spans="1:8">
      <c r="A14" s="10" t="s">
        <v>382</v>
      </c>
      <c r="B14" s="10"/>
      <c r="E14" s="387">
        <v>4</v>
      </c>
      <c r="F14" s="15">
        <v>78133</v>
      </c>
      <c r="G14" s="14"/>
      <c r="H14" s="15">
        <v>10487</v>
      </c>
    </row>
    <row r="15" spans="1:8">
      <c r="A15" s="10" t="s">
        <v>199</v>
      </c>
      <c r="B15" s="10"/>
      <c r="F15" s="16">
        <v>2500</v>
      </c>
      <c r="G15" s="14"/>
      <c r="H15" s="16">
        <v>2500</v>
      </c>
    </row>
    <row r="16" spans="1:8">
      <c r="A16" s="17" t="s">
        <v>241</v>
      </c>
      <c r="B16" s="17"/>
      <c r="F16" s="18">
        <v>7662551</v>
      </c>
      <c r="G16" s="11"/>
      <c r="H16" s="18">
        <v>8414398</v>
      </c>
    </row>
    <row r="17" spans="1:8">
      <c r="A17" s="17"/>
      <c r="B17" s="17"/>
      <c r="F17" s="18"/>
      <c r="G17" s="11"/>
      <c r="H17" s="18"/>
    </row>
    <row r="18" spans="1:8">
      <c r="A18" s="7" t="s">
        <v>201</v>
      </c>
      <c r="B18" s="8"/>
      <c r="F18" s="19"/>
      <c r="G18" s="11"/>
      <c r="H18" s="19"/>
    </row>
    <row r="19" spans="1:8">
      <c r="A19" s="7"/>
      <c r="B19" s="8"/>
      <c r="F19" s="19"/>
      <c r="G19" s="11"/>
      <c r="H19" s="19"/>
    </row>
    <row r="20" spans="1:8">
      <c r="A20" s="10" t="s">
        <v>242</v>
      </c>
      <c r="B20" s="10"/>
      <c r="F20" s="12">
        <v>14743</v>
      </c>
      <c r="G20" s="11"/>
      <c r="H20" s="12">
        <v>16299</v>
      </c>
    </row>
    <row r="21" spans="1:8">
      <c r="A21" s="10" t="s">
        <v>243</v>
      </c>
      <c r="B21" s="10"/>
      <c r="F21" s="15">
        <v>215</v>
      </c>
      <c r="G21" s="14"/>
      <c r="H21" s="15">
        <v>230</v>
      </c>
    </row>
    <row r="22" spans="1:8">
      <c r="A22" s="10" t="s">
        <v>244</v>
      </c>
      <c r="B22" s="10"/>
      <c r="F22" s="15">
        <v>1952</v>
      </c>
      <c r="G22" s="14"/>
      <c r="H22" s="15">
        <v>7704</v>
      </c>
    </row>
    <row r="23" spans="1:8">
      <c r="A23" s="10" t="s">
        <v>385</v>
      </c>
      <c r="B23" s="10"/>
      <c r="E23" s="387">
        <v>5</v>
      </c>
      <c r="F23" s="15">
        <v>6121</v>
      </c>
      <c r="G23" s="14"/>
      <c r="H23" s="15">
        <v>6121</v>
      </c>
    </row>
    <row r="24" spans="1:8">
      <c r="A24" s="441" t="s">
        <v>388</v>
      </c>
      <c r="B24" s="10"/>
      <c r="F24" s="15">
        <v>0</v>
      </c>
      <c r="G24" s="14"/>
      <c r="H24" s="15">
        <v>41777</v>
      </c>
    </row>
    <row r="25" spans="1:8">
      <c r="A25" s="10" t="s">
        <v>246</v>
      </c>
      <c r="B25" s="10"/>
      <c r="E25" s="387">
        <v>6</v>
      </c>
      <c r="F25" s="16">
        <v>123367.12</v>
      </c>
      <c r="G25" s="14"/>
      <c r="H25" s="16">
        <v>116713</v>
      </c>
    </row>
    <row r="26" spans="1:8">
      <c r="A26" s="17" t="s">
        <v>247</v>
      </c>
      <c r="B26" s="17"/>
      <c r="F26" s="41">
        <v>146398.12</v>
      </c>
      <c r="G26" s="3"/>
      <c r="H26" s="41">
        <v>188844</v>
      </c>
    </row>
    <row r="27" spans="1:8">
      <c r="A27" s="17"/>
      <c r="B27" s="17"/>
      <c r="F27" s="18"/>
      <c r="G27" s="3"/>
      <c r="H27" s="18"/>
    </row>
    <row r="28" spans="1:8" ht="12.75" thickBot="1">
      <c r="A28" s="7" t="s">
        <v>461</v>
      </c>
      <c r="B28" s="8"/>
      <c r="F28" s="20">
        <v>7516152.8799999999</v>
      </c>
      <c r="G28" s="11"/>
      <c r="H28" s="20">
        <v>8225554</v>
      </c>
    </row>
    <row r="29" spans="1:8" ht="12.75" thickTop="1">
      <c r="F29" s="21"/>
      <c r="G29" s="11"/>
      <c r="H29" s="21"/>
    </row>
    <row r="30" spans="1:8" ht="12.75" thickBot="1">
      <c r="A30" s="22" t="s">
        <v>414</v>
      </c>
      <c r="B30" s="23"/>
      <c r="F30" s="24">
        <v>7516153</v>
      </c>
      <c r="G30" s="11"/>
      <c r="H30" s="24">
        <v>8225554</v>
      </c>
    </row>
    <row r="31" spans="1:8" ht="12.75" thickTop="1">
      <c r="F31" s="9"/>
      <c r="G31" s="11"/>
      <c r="H31" s="9"/>
    </row>
    <row r="32" spans="1:8">
      <c r="A32" s="8" t="s">
        <v>380</v>
      </c>
      <c r="E32" s="387">
        <v>7</v>
      </c>
      <c r="F32" s="9"/>
      <c r="G32" s="11"/>
      <c r="H32" s="9"/>
    </row>
    <row r="33" spans="1:8">
      <c r="A33" s="25"/>
      <c r="B33" s="17"/>
      <c r="F33" s="26"/>
      <c r="G33" s="14"/>
      <c r="H33" s="26"/>
    </row>
    <row r="34" spans="1:8">
      <c r="F34" s="850" t="s">
        <v>182</v>
      </c>
      <c r="G34" s="851"/>
      <c r="H34" s="851"/>
    </row>
    <row r="35" spans="1:8">
      <c r="F35" s="562"/>
      <c r="G35" s="11"/>
      <c r="H35" s="562"/>
    </row>
    <row r="36" spans="1:8" ht="12.75" thickBot="1">
      <c r="A36" s="7" t="s">
        <v>249</v>
      </c>
      <c r="B36" s="8"/>
      <c r="F36" s="24">
        <v>39180869.447399996</v>
      </c>
      <c r="G36" s="11"/>
      <c r="H36" s="24">
        <v>39180869.447399996</v>
      </c>
    </row>
    <row r="37" spans="1:8" ht="12.75" thickTop="1">
      <c r="F37" s="11"/>
      <c r="G37" s="11"/>
      <c r="H37" s="11"/>
    </row>
    <row r="38" spans="1:8">
      <c r="F38" s="852" t="s">
        <v>183</v>
      </c>
      <c r="G38" s="848"/>
      <c r="H38" s="848"/>
    </row>
    <row r="39" spans="1:8">
      <c r="F39" s="8"/>
      <c r="G39" s="3"/>
      <c r="H39" s="8"/>
    </row>
    <row r="40" spans="1:8" ht="12.75" thickBot="1">
      <c r="A40" s="7" t="s">
        <v>251</v>
      </c>
      <c r="B40" s="8"/>
      <c r="F40" s="359">
        <v>191.83</v>
      </c>
      <c r="G40" s="14"/>
      <c r="H40" s="359">
        <v>209.94</v>
      </c>
    </row>
    <row r="41" spans="1:8" ht="12.75" thickTop="1">
      <c r="F41" s="3"/>
    </row>
    <row r="43" spans="1:8">
      <c r="A43" s="665" t="s">
        <v>805</v>
      </c>
    </row>
    <row r="47" spans="1:8">
      <c r="A47" s="848" t="s">
        <v>252</v>
      </c>
      <c r="B47" s="848"/>
      <c r="C47" s="848"/>
      <c r="D47" s="848"/>
      <c r="E47" s="848"/>
      <c r="F47" s="848"/>
      <c r="G47" s="848"/>
      <c r="H47" s="848"/>
    </row>
    <row r="48" spans="1:8">
      <c r="A48" s="849" t="s">
        <v>253</v>
      </c>
      <c r="B48" s="849"/>
      <c r="C48" s="849"/>
      <c r="D48" s="849"/>
      <c r="E48" s="849"/>
      <c r="F48" s="849"/>
      <c r="G48" s="849"/>
      <c r="H48" s="849"/>
    </row>
    <row r="49" spans="1:5">
      <c r="C49" s="6"/>
      <c r="D49" s="6"/>
      <c r="E49" s="6"/>
    </row>
    <row r="50" spans="1:5">
      <c r="C50" s="6"/>
      <c r="D50" s="6"/>
      <c r="E50" s="6"/>
    </row>
    <row r="51" spans="1:5">
      <c r="C51" s="6"/>
      <c r="D51" s="6"/>
      <c r="E51" s="6"/>
    </row>
    <row r="52" spans="1:5">
      <c r="A52" s="182" t="s">
        <v>808</v>
      </c>
      <c r="C52" s="6"/>
      <c r="D52" s="6"/>
      <c r="E52" s="6"/>
    </row>
    <row r="53" spans="1:5">
      <c r="A53" s="1" t="s">
        <v>361</v>
      </c>
      <c r="C53" s="6"/>
      <c r="D53" s="6"/>
      <c r="E53" s="6"/>
    </row>
  </sheetData>
  <mergeCells count="5">
    <mergeCell ref="A47:H47"/>
    <mergeCell ref="A48:H48"/>
    <mergeCell ref="F34:H34"/>
    <mergeCell ref="F38:H38"/>
    <mergeCell ref="F7:H7"/>
  </mergeCells>
  <phoneticPr fontId="10" type="noConversion"/>
  <printOptions horizontalCentered="1"/>
  <pageMargins left="0.75" right="0.5" top="0.5" bottom="0.25" header="0.5" footer="0.36"/>
  <pageSetup paperSize="9" fitToWidth="12" fitToHeight="12" orientation="portrait" r:id="rId1"/>
  <headerFooter alignWithMargins="0">
    <oddFooter>&amp;C1 of 12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S107"/>
  <sheetViews>
    <sheetView view="pageBreakPreview" zoomScale="60" workbookViewId="0">
      <selection activeCell="E17" sqref="E1:J17"/>
    </sheetView>
  </sheetViews>
  <sheetFormatPr defaultRowHeight="12"/>
  <cols>
    <col min="1" max="1" width="5.125" style="3" customWidth="1"/>
    <col min="2" max="2" width="3.625" style="3" customWidth="1"/>
    <col min="3" max="3" width="30.625" style="3" customWidth="1"/>
    <col min="4" max="4" width="5.125" style="3" customWidth="1"/>
    <col min="5" max="5" width="9.125" style="3" customWidth="1"/>
    <col min="6" max="6" width="0.875" style="3" customWidth="1"/>
    <col min="7" max="7" width="9.375" style="3" customWidth="1"/>
    <col min="8" max="8" width="0.875" style="3" customWidth="1"/>
    <col min="9" max="9" width="9.125" style="3" customWidth="1"/>
    <col min="10" max="10" width="0.875" style="3" customWidth="1"/>
    <col min="11" max="16384" width="9" style="3"/>
  </cols>
  <sheetData>
    <row r="1" spans="1:19">
      <c r="A1" s="216" t="str">
        <f>'Distribution '!A1</f>
        <v>NIT - EQUITY MARKET OPPORTUNITY  FUND</v>
      </c>
      <c r="B1" s="216"/>
      <c r="C1" s="216"/>
      <c r="D1" s="216"/>
      <c r="E1" s="1"/>
      <c r="F1" s="1"/>
      <c r="G1" s="1"/>
      <c r="H1" s="1"/>
      <c r="I1" s="1"/>
      <c r="J1" s="1"/>
      <c r="K1" s="1"/>
    </row>
    <row r="2" spans="1:19">
      <c r="A2" s="34" t="s">
        <v>390</v>
      </c>
      <c r="B2" s="1"/>
      <c r="C2" s="1"/>
      <c r="D2" s="1"/>
      <c r="E2" s="1"/>
      <c r="F2" s="1"/>
      <c r="G2" s="1"/>
      <c r="H2" s="1"/>
      <c r="I2" s="1"/>
      <c r="J2" s="1"/>
      <c r="K2" s="1"/>
    </row>
    <row r="3" spans="1:19">
      <c r="A3" s="106" t="str">
        <f>'Distribution '!A3</f>
        <v>FOR THE QUARTER ENDED SEPTEMBER 30, 2015</v>
      </c>
      <c r="B3" s="1"/>
      <c r="C3" s="1"/>
      <c r="D3" s="1"/>
      <c r="E3" s="1"/>
      <c r="F3" s="1"/>
      <c r="G3" s="1"/>
      <c r="H3" s="1"/>
      <c r="I3" s="1"/>
      <c r="J3" s="1"/>
      <c r="K3" s="1"/>
    </row>
    <row r="4" spans="1:19">
      <c r="A4" s="106"/>
      <c r="B4" s="1"/>
      <c r="C4" s="1"/>
      <c r="D4" s="1"/>
      <c r="E4" s="1"/>
      <c r="F4" s="1"/>
      <c r="G4" s="1"/>
      <c r="H4" s="1"/>
      <c r="I4" s="1"/>
      <c r="J4" s="1"/>
      <c r="K4" s="1"/>
    </row>
    <row r="5" spans="1:19">
      <c r="A5" s="106"/>
      <c r="B5" s="1"/>
      <c r="C5" s="1"/>
      <c r="D5" s="1"/>
      <c r="E5" s="1"/>
      <c r="F5" s="1"/>
      <c r="G5" s="1"/>
      <c r="H5" s="1"/>
      <c r="I5" s="1"/>
      <c r="J5" s="1"/>
      <c r="K5" s="1"/>
    </row>
    <row r="6" spans="1:19">
      <c r="A6" s="106"/>
      <c r="B6" s="1"/>
      <c r="C6" s="1"/>
      <c r="D6" s="942" t="s">
        <v>237</v>
      </c>
      <c r="E6" s="942" t="s">
        <v>483</v>
      </c>
      <c r="F6" s="539"/>
      <c r="G6" s="942" t="s">
        <v>484</v>
      </c>
      <c r="H6" s="539"/>
      <c r="I6" s="942" t="s">
        <v>435</v>
      </c>
      <c r="J6" s="539"/>
      <c r="K6" s="1"/>
    </row>
    <row r="7" spans="1:19">
      <c r="A7" s="106"/>
      <c r="B7" s="1"/>
      <c r="C7" s="1"/>
      <c r="D7" s="943"/>
      <c r="E7" s="943"/>
      <c r="F7" s="360"/>
      <c r="G7" s="943"/>
      <c r="H7" s="360"/>
      <c r="I7" s="943"/>
      <c r="J7" s="360"/>
      <c r="K7" s="1"/>
    </row>
    <row r="8" spans="1:19">
      <c r="A8" s="106"/>
      <c r="B8" s="1"/>
      <c r="C8" s="1"/>
      <c r="D8" s="943"/>
      <c r="E8" s="943"/>
      <c r="F8" s="360"/>
      <c r="G8" s="943"/>
      <c r="H8" s="360"/>
      <c r="I8" s="943"/>
      <c r="J8" s="360"/>
      <c r="K8" s="1"/>
    </row>
    <row r="9" spans="1:19" s="449" customFormat="1" ht="11.25" customHeight="1">
      <c r="A9" s="444"/>
      <c r="B9" s="444"/>
      <c r="C9" s="445"/>
      <c r="D9" s="944"/>
      <c r="E9" s="944"/>
      <c r="F9" s="529"/>
      <c r="G9" s="944"/>
      <c r="H9" s="530"/>
      <c r="I9" s="944"/>
      <c r="J9" s="529"/>
      <c r="K9" s="446"/>
      <c r="L9" s="447"/>
      <c r="M9" s="448"/>
      <c r="N9" s="447"/>
      <c r="O9" s="447"/>
      <c r="P9" s="447"/>
      <c r="Q9" s="447"/>
      <c r="R9" s="447"/>
      <c r="S9" s="447"/>
    </row>
    <row r="10" spans="1:19" s="450" customFormat="1" ht="11.25">
      <c r="D10" s="538"/>
      <c r="E10" s="555" t="s">
        <v>23</v>
      </c>
      <c r="F10" s="556"/>
      <c r="G10" s="555" t="s">
        <v>81</v>
      </c>
      <c r="H10" s="557"/>
      <c r="I10" s="555" t="s">
        <v>436</v>
      </c>
      <c r="J10" s="534"/>
      <c r="K10" s="447"/>
    </row>
    <row r="11" spans="1:19" s="403" customFormat="1" ht="11.25">
      <c r="D11" s="478"/>
      <c r="E11" s="858" t="s">
        <v>420</v>
      </c>
      <c r="F11" s="858"/>
      <c r="G11" s="858"/>
      <c r="H11" s="858"/>
      <c r="I11" s="858"/>
      <c r="J11" s="858"/>
      <c r="K11" s="421"/>
    </row>
    <row r="12" spans="1:19" s="403" customFormat="1">
      <c r="A12" s="411" t="s">
        <v>203</v>
      </c>
      <c r="E12" s="422">
        <v>5712084</v>
      </c>
      <c r="G12" s="422">
        <v>6068481</v>
      </c>
      <c r="H12" s="422"/>
      <c r="I12" s="422" t="e">
        <f>G37</f>
        <v>#REF!</v>
      </c>
      <c r="J12" s="422"/>
      <c r="K12" s="422"/>
      <c r="L12" s="36"/>
      <c r="M12" s="410"/>
      <c r="N12" s="422"/>
    </row>
    <row r="13" spans="1:19" s="403" customFormat="1" ht="11.25">
      <c r="E13" s="422"/>
      <c r="G13" s="422"/>
      <c r="H13" s="422"/>
      <c r="I13" s="422"/>
      <c r="J13" s="422"/>
      <c r="K13" s="422"/>
      <c r="L13" s="422"/>
      <c r="M13" s="410"/>
      <c r="N13" s="422"/>
    </row>
    <row r="14" spans="1:19" s="403" customFormat="1" ht="11.25">
      <c r="A14" s="403" t="s">
        <v>424</v>
      </c>
      <c r="E14" s="423">
        <v>0</v>
      </c>
      <c r="G14" s="423">
        <v>0</v>
      </c>
      <c r="H14" s="424"/>
      <c r="I14" s="423">
        <f>E14-G14</f>
        <v>0</v>
      </c>
      <c r="J14" s="424"/>
      <c r="K14" s="410"/>
      <c r="L14" s="422"/>
      <c r="M14" s="548"/>
      <c r="N14" s="422"/>
    </row>
    <row r="15" spans="1:19" s="403" customFormat="1" ht="11.25">
      <c r="E15" s="425"/>
      <c r="G15" s="425"/>
      <c r="H15" s="424"/>
      <c r="I15" s="425"/>
      <c r="J15" s="424"/>
      <c r="K15" s="410"/>
      <c r="L15" s="422"/>
      <c r="M15" s="548"/>
      <c r="N15" s="422"/>
    </row>
    <row r="16" spans="1:19" s="403" customFormat="1" ht="11.25">
      <c r="A16" s="403" t="s">
        <v>425</v>
      </c>
      <c r="E16" s="425"/>
      <c r="G16" s="425"/>
      <c r="H16" s="424"/>
      <c r="I16" s="425"/>
      <c r="J16" s="424"/>
      <c r="K16" s="410"/>
      <c r="L16" s="422"/>
      <c r="M16" s="548"/>
      <c r="N16" s="422"/>
    </row>
    <row r="17" spans="1:14" s="403" customFormat="1" ht="11.25">
      <c r="A17" s="416" t="s">
        <v>427</v>
      </c>
      <c r="E17" s="425">
        <f>UHF!F14</f>
        <v>0</v>
      </c>
      <c r="G17" s="425">
        <f>E17</f>
        <v>0</v>
      </c>
      <c r="H17" s="424"/>
      <c r="I17" s="425">
        <f>E17-G17</f>
        <v>0</v>
      </c>
      <c r="J17" s="424"/>
      <c r="K17" s="410"/>
      <c r="L17" s="422"/>
      <c r="M17" s="548"/>
      <c r="N17" s="422"/>
    </row>
    <row r="18" spans="1:14" s="403" customFormat="1" ht="11.25">
      <c r="A18" s="416" t="s">
        <v>426</v>
      </c>
      <c r="E18" s="426"/>
      <c r="G18" s="426"/>
      <c r="H18" s="422"/>
      <c r="I18" s="426"/>
      <c r="J18" s="422"/>
      <c r="K18" s="422"/>
      <c r="L18" s="422"/>
      <c r="M18" s="549"/>
      <c r="N18" s="422"/>
    </row>
    <row r="19" spans="1:14" s="403" customFormat="1" ht="11.25">
      <c r="E19" s="422">
        <f>SUM(E14:E18)</f>
        <v>0</v>
      </c>
      <c r="G19" s="422">
        <f>SUM(G14:G18)</f>
        <v>0</v>
      </c>
      <c r="H19" s="422"/>
      <c r="I19" s="422">
        <f>SUM(I14:I18)</f>
        <v>0</v>
      </c>
      <c r="J19" s="422"/>
      <c r="K19" s="422"/>
      <c r="L19" s="422"/>
      <c r="M19" s="410"/>
      <c r="N19" s="422"/>
    </row>
    <row r="20" spans="1:14" s="403" customFormat="1" ht="11.25">
      <c r="A20" s="415" t="s">
        <v>418</v>
      </c>
      <c r="E20" s="428" t="e">
        <f>ROUND(UHF!#REF!,0)</f>
        <v>#REF!</v>
      </c>
      <c r="F20" s="427"/>
      <c r="G20" s="428">
        <v>305413</v>
      </c>
      <c r="H20" s="422"/>
      <c r="I20" s="428" t="e">
        <f>E20-G20</f>
        <v>#REF!</v>
      </c>
      <c r="J20" s="422"/>
      <c r="K20" s="422"/>
      <c r="L20" s="550"/>
      <c r="M20" s="410"/>
      <c r="N20" s="550"/>
    </row>
    <row r="21" spans="1:14" s="403" customFormat="1" ht="11.25">
      <c r="E21" s="429" t="e">
        <f>+E20+E19+E12</f>
        <v>#REF!</v>
      </c>
      <c r="F21" s="427"/>
      <c r="G21" s="429">
        <f>+G20+G19+G12</f>
        <v>6373894</v>
      </c>
      <c r="H21" s="422"/>
      <c r="I21" s="429" t="e">
        <f>+I20+I19+I12</f>
        <v>#REF!</v>
      </c>
      <c r="J21" s="422"/>
      <c r="K21" s="422"/>
      <c r="L21" s="551"/>
      <c r="M21" s="410"/>
      <c r="N21" s="551"/>
    </row>
    <row r="22" spans="1:14" s="403" customFormat="1" ht="11.25">
      <c r="A22" s="415" t="s">
        <v>185</v>
      </c>
      <c r="E22" s="422"/>
      <c r="G22" s="422"/>
      <c r="H22" s="422"/>
      <c r="I22" s="422"/>
      <c r="J22" s="422"/>
      <c r="K22" s="422"/>
      <c r="L22" s="422"/>
      <c r="M22" s="410"/>
      <c r="N22" s="422"/>
    </row>
    <row r="23" spans="1:14" s="403" customFormat="1" ht="11.25">
      <c r="A23" s="416" t="s">
        <v>184</v>
      </c>
      <c r="E23" s="422">
        <f>-IS!E39</f>
        <v>0</v>
      </c>
      <c r="G23" s="422">
        <v>-2229</v>
      </c>
      <c r="H23" s="422"/>
      <c r="I23" s="422">
        <f>E23-G23</f>
        <v>2229</v>
      </c>
      <c r="J23" s="422"/>
      <c r="K23" s="422"/>
      <c r="L23" s="422"/>
      <c r="M23" s="410"/>
      <c r="N23" s="422"/>
    </row>
    <row r="24" spans="1:14" s="403" customFormat="1" ht="11.25">
      <c r="E24" s="422"/>
      <c r="G24" s="422"/>
      <c r="H24" s="422"/>
      <c r="I24" s="422"/>
      <c r="J24" s="422"/>
      <c r="K24" s="422"/>
      <c r="L24" s="422"/>
      <c r="M24" s="410"/>
      <c r="N24" s="422"/>
    </row>
    <row r="25" spans="1:14" s="403" customFormat="1" ht="11.25">
      <c r="A25" s="403" t="s">
        <v>440</v>
      </c>
      <c r="E25" s="422"/>
      <c r="G25" s="422"/>
      <c r="H25" s="422"/>
      <c r="I25" s="422"/>
      <c r="J25" s="422"/>
      <c r="K25" s="422"/>
      <c r="L25" s="422"/>
      <c r="M25" s="410"/>
      <c r="N25" s="422"/>
    </row>
    <row r="26" spans="1:14" s="403" customFormat="1" ht="11.25">
      <c r="A26" s="416" t="s">
        <v>391</v>
      </c>
      <c r="E26" s="422">
        <f>UHF!F19</f>
        <v>-800489</v>
      </c>
      <c r="F26" s="407"/>
      <c r="G26" s="422" t="e">
        <f>#REF!</f>
        <v>#REF!</v>
      </c>
      <c r="H26" s="422"/>
      <c r="I26" s="422" t="e">
        <f>E26-G26</f>
        <v>#REF!</v>
      </c>
      <c r="J26" s="422"/>
      <c r="K26" s="422"/>
      <c r="L26" s="422"/>
      <c r="M26" s="547"/>
      <c r="N26" s="422"/>
    </row>
    <row r="27" spans="1:14" s="403" customFormat="1" ht="11.25">
      <c r="A27" s="430"/>
      <c r="B27" s="430"/>
      <c r="E27" s="422"/>
      <c r="G27" s="422"/>
      <c r="H27" s="422"/>
      <c r="I27" s="422"/>
      <c r="J27" s="422"/>
      <c r="K27" s="422"/>
      <c r="L27" s="422"/>
      <c r="M27" s="549"/>
      <c r="N27" s="422"/>
    </row>
    <row r="28" spans="1:14" s="403" customFormat="1" ht="11.25">
      <c r="A28" s="403" t="s">
        <v>268</v>
      </c>
      <c r="B28" s="430"/>
      <c r="E28" s="423">
        <f>UHF!F21</f>
        <v>61331</v>
      </c>
      <c r="G28" s="423">
        <v>107385</v>
      </c>
      <c r="H28" s="422"/>
      <c r="I28" s="423">
        <f>E28-G28</f>
        <v>-46054</v>
      </c>
      <c r="J28" s="422"/>
      <c r="K28" s="422"/>
      <c r="L28" s="422"/>
      <c r="M28" s="552"/>
      <c r="N28" s="422"/>
    </row>
    <row r="29" spans="1:14" s="403" customFormat="1" ht="11.25">
      <c r="B29" s="430"/>
      <c r="E29" s="425"/>
      <c r="G29" s="425"/>
      <c r="H29" s="422"/>
      <c r="I29" s="425"/>
      <c r="J29" s="422"/>
      <c r="K29" s="422"/>
      <c r="L29" s="422"/>
      <c r="M29" s="552"/>
      <c r="N29" s="422"/>
    </row>
    <row r="30" spans="1:14" s="403" customFormat="1" ht="11.25">
      <c r="A30" s="403" t="s">
        <v>381</v>
      </c>
      <c r="B30" s="430"/>
      <c r="E30" s="406">
        <f>UHF!F23</f>
        <v>29757</v>
      </c>
      <c r="G30" s="406">
        <v>73058</v>
      </c>
      <c r="H30" s="422"/>
      <c r="I30" s="406">
        <f>E30-G30</f>
        <v>-43301</v>
      </c>
      <c r="J30" s="422"/>
      <c r="K30" s="422"/>
      <c r="L30" s="410"/>
      <c r="M30" s="552"/>
      <c r="N30" s="410"/>
    </row>
    <row r="31" spans="1:14" s="403" customFormat="1" ht="11.25">
      <c r="B31" s="430"/>
      <c r="E31" s="425"/>
      <c r="G31" s="425"/>
      <c r="H31" s="422"/>
      <c r="I31" s="425"/>
      <c r="J31" s="422"/>
      <c r="K31" s="422"/>
      <c r="L31" s="422"/>
      <c r="M31" s="552"/>
      <c r="N31" s="422"/>
    </row>
    <row r="32" spans="1:14" s="403" customFormat="1" ht="11.25">
      <c r="A32" s="403" t="s">
        <v>421</v>
      </c>
      <c r="E32" s="425"/>
      <c r="G32" s="425"/>
      <c r="H32" s="422"/>
      <c r="I32" s="425"/>
      <c r="J32" s="422"/>
      <c r="K32" s="422"/>
      <c r="L32" s="422"/>
      <c r="M32" s="552"/>
      <c r="N32" s="422"/>
    </row>
    <row r="33" spans="1:14" s="403" customFormat="1" ht="11.25">
      <c r="A33" s="403" t="s">
        <v>422</v>
      </c>
      <c r="E33" s="409" t="e">
        <f>ROUND(UHF!#REF!,0)</f>
        <v>#REF!</v>
      </c>
      <c r="G33" s="408">
        <f>-G20</f>
        <v>-305413</v>
      </c>
      <c r="H33" s="410"/>
      <c r="I33" s="431">
        <f>N33</f>
        <v>0</v>
      </c>
      <c r="J33" s="410"/>
      <c r="K33" s="410"/>
      <c r="L33" s="410"/>
      <c r="M33" s="549"/>
      <c r="N33" s="553"/>
    </row>
    <row r="34" spans="1:14" s="403" customFormat="1" ht="11.25">
      <c r="A34" s="432"/>
      <c r="B34" s="430"/>
      <c r="E34" s="410"/>
      <c r="G34" s="410"/>
      <c r="H34" s="410"/>
      <c r="I34" s="410"/>
      <c r="J34" s="410"/>
      <c r="K34" s="410"/>
      <c r="L34" s="410"/>
      <c r="M34" s="552"/>
      <c r="N34" s="410"/>
    </row>
    <row r="35" spans="1:14" s="403" customFormat="1" ht="11.25">
      <c r="B35" s="430"/>
      <c r="E35" s="410" t="e">
        <f>SUM(E28:E34)</f>
        <v>#REF!</v>
      </c>
      <c r="G35" s="410">
        <f>SUM(G28:G34)</f>
        <v>-124970</v>
      </c>
      <c r="H35" s="410"/>
      <c r="I35" s="410">
        <f>SUM(I28:I34)</f>
        <v>-89355</v>
      </c>
      <c r="J35" s="410"/>
      <c r="K35" s="410"/>
      <c r="L35" s="410"/>
      <c r="M35" s="410"/>
      <c r="N35" s="410"/>
    </row>
    <row r="36" spans="1:14" s="403" customFormat="1" ht="11.25">
      <c r="K36" s="547"/>
      <c r="L36" s="547"/>
      <c r="M36" s="547"/>
      <c r="N36" s="547"/>
    </row>
    <row r="37" spans="1:14" s="403" customFormat="1" thickBot="1">
      <c r="A37" s="411" t="s">
        <v>204</v>
      </c>
      <c r="E37" s="417" t="e">
        <f>+E35+E26+E23+E21</f>
        <v>#REF!</v>
      </c>
      <c r="G37" s="417" t="e">
        <f>+G35+G26+G23+G21</f>
        <v>#REF!</v>
      </c>
      <c r="H37" s="433"/>
      <c r="I37" s="417" t="e">
        <f>+I35+I26+I23+I21</f>
        <v>#REF!</v>
      </c>
      <c r="J37" s="433"/>
      <c r="K37" s="433"/>
      <c r="L37" s="549"/>
      <c r="M37" s="547"/>
      <c r="N37" s="549"/>
    </row>
    <row r="38" spans="1:14" ht="12.75" thickTop="1">
      <c r="K38" s="42"/>
      <c r="L38" s="554"/>
      <c r="M38" s="21"/>
      <c r="N38" s="42"/>
    </row>
    <row r="39" spans="1:14">
      <c r="C39" s="13"/>
      <c r="D39" s="13"/>
      <c r="E39" s="13"/>
      <c r="G39" s="13"/>
      <c r="H39" s="13"/>
      <c r="I39" s="13"/>
      <c r="J39" s="13"/>
      <c r="K39" s="42"/>
      <c r="L39" s="554"/>
      <c r="M39" s="43"/>
      <c r="N39" s="43"/>
    </row>
    <row r="40" spans="1:14">
      <c r="K40" s="43"/>
      <c r="L40" s="43"/>
      <c r="M40" s="43"/>
      <c r="N40" s="43"/>
    </row>
    <row r="41" spans="1:14">
      <c r="K41" s="43"/>
      <c r="L41" s="43"/>
      <c r="M41" s="43"/>
      <c r="N41" s="43"/>
    </row>
    <row r="42" spans="1:14">
      <c r="K42" s="43"/>
      <c r="L42" s="43"/>
      <c r="M42" s="43"/>
      <c r="N42" s="43"/>
    </row>
    <row r="43" spans="1:14">
      <c r="K43" s="43"/>
      <c r="L43" s="43"/>
      <c r="M43" s="43"/>
      <c r="N43" s="43"/>
    </row>
    <row r="70" spans="7:7">
      <c r="G70" s="3">
        <f>SUM(G50:G69)</f>
        <v>0</v>
      </c>
    </row>
    <row r="104" spans="7:7">
      <c r="G104" s="3">
        <f>SUM(G90:G102)</f>
        <v>0</v>
      </c>
    </row>
    <row r="107" spans="7:7">
      <c r="G107" s="3">
        <f>G104</f>
        <v>0</v>
      </c>
    </row>
  </sheetData>
  <mergeCells count="5">
    <mergeCell ref="E11:J11"/>
    <mergeCell ref="D6:D9"/>
    <mergeCell ref="E6:E9"/>
    <mergeCell ref="G6:G9"/>
    <mergeCell ref="I6:I9"/>
  </mergeCells>
  <printOptions horizontalCentered="1"/>
  <pageMargins left="0.75" right="0.5" top="0.5" bottom="0.25" header="0.5" footer="0.36"/>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29"/>
  <sheetViews>
    <sheetView workbookViewId="0"/>
  </sheetViews>
  <sheetFormatPr defaultRowHeight="15.75"/>
  <cols>
    <col min="1" max="1" width="16.375" customWidth="1"/>
    <col min="2" max="2" width="31.25" customWidth="1"/>
    <col min="3" max="3" width="21" customWidth="1"/>
    <col min="4" max="4" width="15.375" customWidth="1"/>
    <col min="5" max="5" width="49.5" customWidth="1"/>
  </cols>
  <sheetData>
    <row r="1" spans="1:5">
      <c r="A1" s="1" t="str">
        <f>'[46]Distribution '!A1</f>
        <v>NIT - EQUITY MARKET OPPORTUNITY  FUND</v>
      </c>
    </row>
    <row r="2" spans="1:5">
      <c r="A2" s="31" t="s">
        <v>292</v>
      </c>
    </row>
    <row r="4" spans="1:5" ht="16.5" thickBot="1"/>
    <row r="5" spans="1:5" ht="16.5" thickBot="1">
      <c r="A5" s="946" t="s">
        <v>285</v>
      </c>
      <c r="B5" s="949" t="s">
        <v>193</v>
      </c>
      <c r="C5" s="950"/>
      <c r="D5" s="951"/>
      <c r="E5" s="946" t="s">
        <v>288</v>
      </c>
    </row>
    <row r="6" spans="1:5">
      <c r="A6" s="947"/>
      <c r="C6" s="170" t="s">
        <v>286</v>
      </c>
      <c r="D6" s="171" t="s">
        <v>287</v>
      </c>
      <c r="E6" s="947"/>
    </row>
    <row r="7" spans="1:5" ht="16.5" thickBot="1">
      <c r="A7" s="948"/>
      <c r="C7" s="952" t="s">
        <v>257</v>
      </c>
      <c r="D7" s="953"/>
      <c r="E7" s="948"/>
    </row>
    <row r="8" spans="1:5" hidden="1">
      <c r="C8" s="38"/>
      <c r="D8" s="38"/>
      <c r="E8" s="31" t="s">
        <v>293</v>
      </c>
    </row>
    <row r="9" spans="1:5" hidden="1">
      <c r="A9">
        <v>1</v>
      </c>
      <c r="B9" t="s">
        <v>289</v>
      </c>
      <c r="C9" s="32">
        <v>200390</v>
      </c>
      <c r="E9" s="33" t="s">
        <v>291</v>
      </c>
    </row>
    <row r="10" spans="1:5" hidden="1">
      <c r="B10" s="37" t="s">
        <v>290</v>
      </c>
      <c r="D10" s="33">
        <f>C9</f>
        <v>200390</v>
      </c>
    </row>
    <row r="12" spans="1:5" ht="26.1" customHeight="1">
      <c r="A12">
        <v>1</v>
      </c>
      <c r="B12" t="s">
        <v>191</v>
      </c>
      <c r="C12" s="32">
        <f>ROUND(191595786/1000,0)+17</f>
        <v>191613</v>
      </c>
      <c r="E12" s="945" t="s">
        <v>192</v>
      </c>
    </row>
    <row r="13" spans="1:5" ht="26.1" customHeight="1">
      <c r="B13" s="37" t="s">
        <v>134</v>
      </c>
      <c r="D13" s="32">
        <f>ROUND(191595786/1000,0)+17</f>
        <v>191613</v>
      </c>
      <c r="E13" s="945"/>
    </row>
    <row r="15" spans="1:5">
      <c r="A15">
        <v>2</v>
      </c>
      <c r="B15" t="s">
        <v>194</v>
      </c>
      <c r="C15" s="32">
        <v>7953</v>
      </c>
      <c r="E15" s="945" t="s">
        <v>196</v>
      </c>
    </row>
    <row r="16" spans="1:5">
      <c r="B16" s="37" t="s">
        <v>195</v>
      </c>
      <c r="D16" s="33">
        <f>C15</f>
        <v>7953</v>
      </c>
      <c r="E16" s="945"/>
    </row>
    <row r="18" spans="1:5">
      <c r="A18">
        <v>3</v>
      </c>
      <c r="B18" t="s">
        <v>160</v>
      </c>
      <c r="C18" s="32">
        <v>5356</v>
      </c>
      <c r="D18" s="32"/>
      <c r="E18" t="s">
        <v>112</v>
      </c>
    </row>
    <row r="19" spans="1:5">
      <c r="B19" s="343" t="s">
        <v>239</v>
      </c>
      <c r="C19" s="32"/>
      <c r="D19" s="32">
        <v>5356</v>
      </c>
    </row>
    <row r="20" spans="1:5">
      <c r="B20" s="343"/>
      <c r="C20" s="32"/>
      <c r="D20" s="32"/>
    </row>
    <row r="21" spans="1:5">
      <c r="A21">
        <v>4</v>
      </c>
      <c r="B21" s="344" t="s">
        <v>113</v>
      </c>
      <c r="C21" s="32">
        <v>40</v>
      </c>
      <c r="D21" s="32"/>
      <c r="E21" s="945" t="s">
        <v>115</v>
      </c>
    </row>
    <row r="22" spans="1:5" ht="58.5" customHeight="1">
      <c r="B22" s="345" t="s">
        <v>114</v>
      </c>
      <c r="C22" s="32"/>
      <c r="D22" s="32">
        <v>40</v>
      </c>
      <c r="E22" s="945"/>
    </row>
    <row r="23" spans="1:5">
      <c r="B23" s="343"/>
      <c r="C23" s="32"/>
      <c r="D23" s="32"/>
    </row>
    <row r="24" spans="1:5">
      <c r="B24" s="343"/>
      <c r="C24" s="32"/>
      <c r="D24" s="32"/>
    </row>
    <row r="25" spans="1:5">
      <c r="B25" s="343"/>
      <c r="C25" s="32"/>
      <c r="D25" s="32"/>
    </row>
    <row r="26" spans="1:5">
      <c r="B26" s="343"/>
      <c r="C26" s="32"/>
      <c r="D26" s="32"/>
    </row>
    <row r="27" spans="1:5">
      <c r="B27" s="343"/>
      <c r="C27" s="32"/>
      <c r="D27" s="32"/>
    </row>
    <row r="28" spans="1:5">
      <c r="B28" s="343"/>
      <c r="C28" s="32"/>
      <c r="D28" s="32"/>
    </row>
    <row r="29" spans="1:5">
      <c r="B29" s="343"/>
      <c r="C29" s="32"/>
      <c r="D29" s="32"/>
    </row>
  </sheetData>
  <mergeCells count="7">
    <mergeCell ref="E21:E22"/>
    <mergeCell ref="A5:A7"/>
    <mergeCell ref="E5:E7"/>
    <mergeCell ref="E15:E16"/>
    <mergeCell ref="B5:D5"/>
    <mergeCell ref="C7:D7"/>
    <mergeCell ref="E12:E13"/>
  </mergeCells>
  <phoneticPr fontId="67" type="noConversion"/>
  <pageMargins left="0.75" right="0.75" top="1" bottom="1" header="0.5" footer="0.5"/>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30"/>
  <sheetViews>
    <sheetView workbookViewId="0"/>
  </sheetViews>
  <sheetFormatPr defaultRowHeight="15.75"/>
  <cols>
    <col min="1" max="1" width="9.5" bestFit="1" customWidth="1"/>
    <col min="2" max="2" width="34.5" bestFit="1" customWidth="1"/>
    <col min="3" max="3" width="16.25" customWidth="1"/>
    <col min="4" max="4" width="14.625" customWidth="1"/>
    <col min="5" max="5" width="18.75" customWidth="1"/>
    <col min="6" max="6" width="10.375" customWidth="1"/>
  </cols>
  <sheetData>
    <row r="1" spans="1:6">
      <c r="A1" s="346" t="s">
        <v>71</v>
      </c>
    </row>
    <row r="2" spans="1:6">
      <c r="A2" s="346" t="s">
        <v>72</v>
      </c>
    </row>
    <row r="3" spans="1:6">
      <c r="A3" s="347">
        <v>40178</v>
      </c>
    </row>
    <row r="6" spans="1:6">
      <c r="A6" s="348" t="s">
        <v>73</v>
      </c>
    </row>
    <row r="7" spans="1:6" ht="16.5" thickBot="1"/>
    <row r="8" spans="1:6">
      <c r="A8" s="954" t="s">
        <v>79</v>
      </c>
      <c r="B8" s="954" t="s">
        <v>78</v>
      </c>
      <c r="C8" s="954" t="s">
        <v>74</v>
      </c>
      <c r="D8" s="954" t="s">
        <v>75</v>
      </c>
      <c r="E8" s="954" t="s">
        <v>76</v>
      </c>
      <c r="F8" s="954" t="s">
        <v>77</v>
      </c>
    </row>
    <row r="9" spans="1:6">
      <c r="A9" s="955"/>
      <c r="B9" s="955"/>
      <c r="C9" s="955"/>
      <c r="D9" s="955"/>
      <c r="E9" s="955"/>
      <c r="F9" s="955"/>
    </row>
    <row r="10" spans="1:6" ht="16.5" thickBot="1">
      <c r="A10" s="956"/>
      <c r="B10" s="956"/>
      <c r="C10" s="956"/>
      <c r="D10" s="956"/>
      <c r="E10" s="956"/>
      <c r="F10" s="956"/>
    </row>
    <row r="11" spans="1:6">
      <c r="E11" s="957" t="s">
        <v>257</v>
      </c>
      <c r="F11" s="958"/>
    </row>
    <row r="12" spans="1:6">
      <c r="C12" s="352" t="s">
        <v>23</v>
      </c>
      <c r="D12" s="352" t="s">
        <v>81</v>
      </c>
      <c r="E12" s="353" t="s">
        <v>24</v>
      </c>
      <c r="F12" s="353" t="s">
        <v>82</v>
      </c>
    </row>
    <row r="14" spans="1:6">
      <c r="A14" s="350">
        <v>1</v>
      </c>
      <c r="B14" s="350" t="s">
        <v>125</v>
      </c>
      <c r="C14" s="351">
        <v>17586506</v>
      </c>
      <c r="D14" s="351">
        <v>55597582</v>
      </c>
      <c r="E14" s="351">
        <v>5713885</v>
      </c>
      <c r="F14" s="351">
        <f>C14*E14/D14</f>
        <v>1807403.6535583509</v>
      </c>
    </row>
    <row r="15" spans="1:6">
      <c r="A15" s="350"/>
      <c r="B15" s="350"/>
      <c r="C15" s="350"/>
      <c r="D15" s="350"/>
      <c r="E15" s="350"/>
      <c r="F15" s="350"/>
    </row>
    <row r="16" spans="1:6">
      <c r="A16" s="350">
        <v>2</v>
      </c>
      <c r="B16" s="350" t="s">
        <v>80</v>
      </c>
      <c r="C16" s="351">
        <v>17821401</v>
      </c>
      <c r="D16" s="351">
        <f>D14</f>
        <v>55597582</v>
      </c>
      <c r="E16" s="351">
        <f>E14</f>
        <v>5713885</v>
      </c>
      <c r="F16" s="351">
        <f>C16*E16/D16</f>
        <v>1831544.3260263549</v>
      </c>
    </row>
    <row r="17" spans="1:6">
      <c r="A17" s="350"/>
      <c r="B17" s="350"/>
      <c r="C17" s="351"/>
      <c r="D17" s="351"/>
      <c r="E17" s="351"/>
      <c r="F17" s="351"/>
    </row>
    <row r="18" spans="1:6">
      <c r="A18" s="350">
        <v>3</v>
      </c>
      <c r="B18" s="350" t="s">
        <v>255</v>
      </c>
      <c r="C18" s="351">
        <v>15512662</v>
      </c>
      <c r="D18" s="351">
        <f>D16</f>
        <v>55597582</v>
      </c>
      <c r="E18" s="351">
        <f>E16</f>
        <v>5713885</v>
      </c>
      <c r="F18" s="351">
        <f>C18*E18/D18</f>
        <v>1594270.1736897479</v>
      </c>
    </row>
    <row r="19" spans="1:6">
      <c r="C19" s="349"/>
      <c r="D19" s="349"/>
      <c r="E19" s="349"/>
      <c r="F19" s="349"/>
    </row>
    <row r="20" spans="1:6">
      <c r="C20" s="349"/>
      <c r="D20" s="349"/>
      <c r="E20" s="349"/>
      <c r="F20" s="349"/>
    </row>
    <row r="21" spans="1:6">
      <c r="C21" s="349"/>
      <c r="D21" s="349"/>
      <c r="E21" s="349"/>
      <c r="F21" s="349"/>
    </row>
    <row r="22" spans="1:6">
      <c r="C22" s="349"/>
      <c r="D22" s="349"/>
      <c r="E22" s="349"/>
      <c r="F22" s="349"/>
    </row>
    <row r="23" spans="1:6">
      <c r="C23" s="349"/>
      <c r="D23" s="349"/>
      <c r="E23" s="349"/>
      <c r="F23" s="349"/>
    </row>
    <row r="24" spans="1:6">
      <c r="C24" s="349"/>
      <c r="D24" s="349"/>
      <c r="E24" s="349"/>
      <c r="F24" s="349"/>
    </row>
    <row r="25" spans="1:6">
      <c r="C25" s="349"/>
      <c r="D25" s="349"/>
      <c r="E25" s="349"/>
      <c r="F25" s="349"/>
    </row>
    <row r="26" spans="1:6">
      <c r="C26" s="349"/>
      <c r="D26" s="349"/>
      <c r="E26" s="349"/>
      <c r="F26" s="349"/>
    </row>
    <row r="27" spans="1:6">
      <c r="C27" s="349"/>
      <c r="D27" s="349"/>
      <c r="E27" s="349"/>
      <c r="F27" s="349"/>
    </row>
    <row r="28" spans="1:6">
      <c r="C28" s="349"/>
      <c r="D28" s="349"/>
      <c r="E28" s="349"/>
      <c r="F28" s="349"/>
    </row>
    <row r="29" spans="1:6">
      <c r="C29" s="349"/>
      <c r="D29" s="349"/>
      <c r="E29" s="349"/>
      <c r="F29" s="349"/>
    </row>
    <row r="30" spans="1:6">
      <c r="C30" s="349"/>
      <c r="D30" s="349"/>
      <c r="E30" s="349"/>
      <c r="F30" s="349"/>
    </row>
  </sheetData>
  <mergeCells count="7">
    <mergeCell ref="E8:E10"/>
    <mergeCell ref="F8:F10"/>
    <mergeCell ref="E11:F11"/>
    <mergeCell ref="A8:A10"/>
    <mergeCell ref="B8:B10"/>
    <mergeCell ref="C8:C10"/>
    <mergeCell ref="D8:D10"/>
  </mergeCells>
  <phoneticPr fontId="69" type="noConversion"/>
  <pageMargins left="0.75" right="0.75" top="1" bottom="1" header="0.5" footer="0.5"/>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sheetPr>
  <dimension ref="A1:R135"/>
  <sheetViews>
    <sheetView workbookViewId="0"/>
  </sheetViews>
  <sheetFormatPr defaultColWidth="10.25" defaultRowHeight="12"/>
  <cols>
    <col min="1" max="1" width="5.75" style="68" customWidth="1"/>
    <col min="2" max="2" width="4" style="68" customWidth="1"/>
    <col min="3" max="3" width="29.25" style="68" customWidth="1"/>
    <col min="4" max="5" width="6.375" style="49" customWidth="1"/>
    <col min="6" max="6" width="10.875" style="49" customWidth="1"/>
    <col min="7" max="7" width="1.75" style="68" customWidth="1"/>
    <col min="8" max="8" width="12.625" style="68" customWidth="1"/>
    <col min="9" max="9" width="1.625" style="68" customWidth="1"/>
    <col min="10" max="14" width="14.375" style="68" customWidth="1"/>
    <col min="15" max="15" width="10.875" style="68" customWidth="1"/>
    <col min="16" max="16384" width="10.25" style="68"/>
  </cols>
  <sheetData>
    <row r="1" spans="1:14">
      <c r="A1" s="44" t="str">
        <f>'[47]Statement of FP'!A1</f>
        <v>NIT - EQUITY MARKET OPPORTUNITY  FUND</v>
      </c>
      <c r="B1" s="44"/>
      <c r="C1" s="44"/>
      <c r="D1" s="45"/>
      <c r="E1" s="45"/>
      <c r="F1" s="45"/>
      <c r="G1" s="44"/>
      <c r="H1" s="44"/>
    </row>
    <row r="2" spans="1:14">
      <c r="A2" s="4" t="s">
        <v>177</v>
      </c>
      <c r="B2" s="44"/>
      <c r="C2" s="44"/>
      <c r="D2" s="45"/>
      <c r="E2" s="45"/>
      <c r="F2" s="45"/>
      <c r="G2" s="44"/>
      <c r="H2" s="69"/>
    </row>
    <row r="3" spans="1:14">
      <c r="A3" s="106" t="s">
        <v>65</v>
      </c>
      <c r="B3" s="44"/>
      <c r="C3" s="44"/>
      <c r="D3" s="45"/>
      <c r="E3" s="45"/>
      <c r="F3" s="45"/>
      <c r="G3" s="44"/>
      <c r="H3" s="44"/>
    </row>
    <row r="4" spans="1:14">
      <c r="A4" s="44"/>
      <c r="B4" s="44"/>
      <c r="C4" s="44"/>
      <c r="D4" s="45"/>
      <c r="E4" s="45"/>
      <c r="F4" s="45"/>
      <c r="G4" s="44"/>
      <c r="H4" s="44"/>
    </row>
    <row r="5" spans="1:14" ht="48">
      <c r="A5" s="47"/>
      <c r="B5" s="47"/>
      <c r="C5" s="47"/>
      <c r="F5" s="50" t="s">
        <v>237</v>
      </c>
      <c r="G5" s="50"/>
      <c r="H5" s="29" t="s">
        <v>66</v>
      </c>
      <c r="I5" s="29"/>
      <c r="J5" s="29" t="s">
        <v>27</v>
      </c>
      <c r="K5" s="29"/>
      <c r="L5" s="66" t="s">
        <v>46</v>
      </c>
    </row>
    <row r="6" spans="1:14">
      <c r="A6" s="47"/>
      <c r="B6" s="47"/>
      <c r="C6" s="47"/>
      <c r="D6" s="52"/>
      <c r="E6" s="52"/>
      <c r="F6" s="52"/>
      <c r="G6" s="63"/>
      <c r="H6" s="53"/>
    </row>
    <row r="7" spans="1:14" ht="12" customHeight="1">
      <c r="A7" s="54" t="s">
        <v>32</v>
      </c>
      <c r="B7" s="54"/>
      <c r="C7" s="47"/>
      <c r="G7" s="47"/>
      <c r="H7" s="47"/>
    </row>
    <row r="8" spans="1:14" ht="12" customHeight="1">
      <c r="A8" s="54"/>
      <c r="B8" s="54"/>
      <c r="C8" s="47"/>
      <c r="G8" s="47"/>
      <c r="H8" s="47"/>
    </row>
    <row r="9" spans="1:14" ht="12" customHeight="1">
      <c r="A9" s="68" t="s">
        <v>33</v>
      </c>
      <c r="H9" s="70">
        <f>IS!E47</f>
        <v>91088</v>
      </c>
      <c r="J9" s="70">
        <f>IS!G47</f>
        <v>69092</v>
      </c>
      <c r="K9" s="70"/>
      <c r="L9" s="70" t="e">
        <f>IS!#REF!</f>
        <v>#REF!</v>
      </c>
    </row>
    <row r="10" spans="1:14" ht="12" customHeight="1">
      <c r="H10" s="70"/>
      <c r="J10" s="70"/>
      <c r="K10" s="70"/>
      <c r="L10" s="70"/>
    </row>
    <row r="11" spans="1:14" ht="12" customHeight="1">
      <c r="A11" s="71" t="s">
        <v>292</v>
      </c>
      <c r="B11" s="71"/>
      <c r="H11" s="70"/>
      <c r="J11" s="70"/>
      <c r="K11" s="70"/>
      <c r="L11" s="70"/>
      <c r="N11" s="80"/>
    </row>
    <row r="12" spans="1:14" ht="12" customHeight="1">
      <c r="A12" s="72" t="str">
        <f>'[47]Income Statement'!A10</f>
        <v>Dividend income</v>
      </c>
      <c r="B12" s="71"/>
      <c r="H12" s="70">
        <f>-IS!E10</f>
        <v>-91966</v>
      </c>
      <c r="J12" s="70" t="e">
        <f>H12-L12</f>
        <v>#REF!</v>
      </c>
      <c r="K12" s="70"/>
      <c r="L12" s="70" t="e">
        <f>-IS!#REF!</f>
        <v>#REF!</v>
      </c>
    </row>
    <row r="13" spans="1:14" ht="12" customHeight="1">
      <c r="A13" s="72" t="s">
        <v>289</v>
      </c>
      <c r="B13" s="71"/>
      <c r="H13" s="70">
        <f>-IS!E11</f>
        <v>-61331</v>
      </c>
      <c r="J13" s="70" t="e">
        <f>H13-L13</f>
        <v>#REF!</v>
      </c>
      <c r="K13" s="70"/>
      <c r="L13" s="70" t="e">
        <f>-IS!#REF!</f>
        <v>#REF!</v>
      </c>
    </row>
    <row r="14" spans="1:14" ht="12" customHeight="1">
      <c r="A14" s="72" t="s">
        <v>259</v>
      </c>
      <c r="B14" s="71"/>
      <c r="H14" s="70" t="e">
        <f>-IS!#REF!</f>
        <v>#REF!</v>
      </c>
      <c r="J14" s="70" t="e">
        <f>H14-L14</f>
        <v>#REF!</v>
      </c>
      <c r="K14" s="70"/>
      <c r="L14" s="70" t="e">
        <f>-IS!#REF!</f>
        <v>#REF!</v>
      </c>
    </row>
    <row r="15" spans="1:14" ht="12" customHeight="1">
      <c r="A15" s="72" t="s">
        <v>34</v>
      </c>
      <c r="B15" s="72"/>
      <c r="H15" s="70"/>
      <c r="J15" s="70"/>
      <c r="K15" s="70"/>
      <c r="L15" s="70"/>
    </row>
    <row r="16" spans="1:14" ht="12" customHeight="1">
      <c r="A16" s="73" t="s">
        <v>35</v>
      </c>
      <c r="B16" s="73"/>
      <c r="H16" s="74">
        <f>-IS!E39</f>
        <v>0</v>
      </c>
      <c r="J16" s="74" t="e">
        <f>-IS!#REF!</f>
        <v>#REF!</v>
      </c>
      <c r="L16" s="74" t="e">
        <f>IS!#REF!</f>
        <v>#REF!</v>
      </c>
    </row>
    <row r="17" spans="1:15" ht="12" customHeight="1">
      <c r="H17" s="70" t="e">
        <f>SUM(H9:H16)</f>
        <v>#REF!</v>
      </c>
      <c r="J17" s="70" t="e">
        <f>SUM(J9:J16)</f>
        <v>#REF!</v>
      </c>
      <c r="L17" s="70" t="e">
        <f>SUM(L9:L16)</f>
        <v>#REF!</v>
      </c>
    </row>
    <row r="18" spans="1:15" ht="12" customHeight="1">
      <c r="A18" s="71" t="s">
        <v>45</v>
      </c>
      <c r="B18" s="71"/>
      <c r="H18" s="70"/>
      <c r="J18" s="70"/>
      <c r="L18" s="70"/>
    </row>
    <row r="19" spans="1:15" ht="12" customHeight="1">
      <c r="A19" s="10" t="s">
        <v>239</v>
      </c>
      <c r="H19" s="75" t="e">
        <f>-#REF!</f>
        <v>#REF!</v>
      </c>
      <c r="I19" s="70"/>
      <c r="J19" s="75" t="e">
        <f>H19-L19</f>
        <v>#REF!</v>
      </c>
      <c r="L19" s="75" t="e">
        <f>-BS!#REF!+UHF!#REF!</f>
        <v>#REF!</v>
      </c>
      <c r="O19" s="68" t="e">
        <f>#REF!</f>
        <v>#REF!</v>
      </c>
    </row>
    <row r="20" spans="1:15" ht="12" customHeight="1">
      <c r="A20" s="10" t="s">
        <v>240</v>
      </c>
      <c r="H20" s="76" t="e">
        <f>#REF!</f>
        <v>#REF!</v>
      </c>
      <c r="I20" s="70"/>
      <c r="J20" s="76" t="e">
        <f>H20-L20</f>
        <v>#REF!</v>
      </c>
      <c r="L20" s="76" t="e">
        <f>BS!#REF!</f>
        <v>#REF!</v>
      </c>
    </row>
    <row r="21" spans="1:15" ht="12" customHeight="1">
      <c r="A21" s="72"/>
      <c r="H21" s="77"/>
      <c r="I21" s="70"/>
      <c r="J21" s="77"/>
      <c r="L21" s="77"/>
    </row>
    <row r="22" spans="1:15" ht="12" customHeight="1">
      <c r="A22" s="72"/>
      <c r="H22" s="78" t="e">
        <f>SUM(H19:H21)</f>
        <v>#REF!</v>
      </c>
      <c r="I22" s="70"/>
      <c r="J22" s="78" t="e">
        <f>SUM(J19:J21)</f>
        <v>#REF!</v>
      </c>
      <c r="L22" s="78" t="e">
        <f>SUM(L19:L21)</f>
        <v>#REF!</v>
      </c>
    </row>
    <row r="23" spans="1:15" ht="12" customHeight="1"/>
    <row r="24" spans="1:15" ht="12" customHeight="1">
      <c r="A24" s="79" t="s">
        <v>36</v>
      </c>
      <c r="B24" s="71"/>
      <c r="H24" s="70"/>
      <c r="J24" s="70"/>
      <c r="L24" s="70"/>
    </row>
    <row r="25" spans="1:15" ht="12" customHeight="1">
      <c r="A25" s="10" t="s">
        <v>242</v>
      </c>
      <c r="H25" s="75" t="e">
        <f>#REF!</f>
        <v>#REF!</v>
      </c>
      <c r="I25" s="70"/>
      <c r="J25" s="75" t="e">
        <f>H25-L25</f>
        <v>#REF!</v>
      </c>
      <c r="L25" s="75" t="e">
        <f>BS!#REF!</f>
        <v>#REF!</v>
      </c>
    </row>
    <row r="26" spans="1:15" ht="12" customHeight="1">
      <c r="A26" s="10" t="s">
        <v>243</v>
      </c>
      <c r="H26" s="76" t="e">
        <f>#REF!</f>
        <v>#REF!</v>
      </c>
      <c r="I26" s="70"/>
      <c r="J26" s="76" t="e">
        <f>H26-L26</f>
        <v>#REF!</v>
      </c>
      <c r="L26" s="76" t="e">
        <f>IS!#REF!</f>
        <v>#REF!</v>
      </c>
    </row>
    <row r="27" spans="1:15" ht="12" customHeight="1">
      <c r="A27" s="10" t="s">
        <v>244</v>
      </c>
      <c r="H27" s="76" t="e">
        <f>#REF!</f>
        <v>#REF!</v>
      </c>
      <c r="I27" s="70"/>
      <c r="J27" s="76" t="e">
        <f>H27-L27</f>
        <v>#REF!</v>
      </c>
      <c r="L27" s="76" t="e">
        <f>BS!#REF!</f>
        <v>#REF!</v>
      </c>
    </row>
    <row r="28" spans="1:15" ht="12" customHeight="1">
      <c r="A28" s="10" t="s">
        <v>245</v>
      </c>
      <c r="H28" s="76" t="e">
        <f>#REF!</f>
        <v>#REF!</v>
      </c>
      <c r="I28" s="70"/>
      <c r="J28" s="76" t="e">
        <f>L28-H28</f>
        <v>#REF!</v>
      </c>
      <c r="L28" s="76" t="e">
        <f>BS!#REF!</f>
        <v>#REF!</v>
      </c>
    </row>
    <row r="29" spans="1:15" ht="12" customHeight="1">
      <c r="A29" s="10" t="s">
        <v>246</v>
      </c>
      <c r="H29" s="77" t="e">
        <f>#REF!</f>
        <v>#REF!</v>
      </c>
      <c r="I29" s="70"/>
      <c r="J29" s="77" t="e">
        <f>H29-L29</f>
        <v>#REF!</v>
      </c>
      <c r="L29" s="77" t="e">
        <f>BS!#REF!</f>
        <v>#REF!</v>
      </c>
    </row>
    <row r="30" spans="1:15" ht="12" customHeight="1">
      <c r="A30" s="65"/>
      <c r="H30" s="78" t="e">
        <f>SUM(H25:H29)</f>
        <v>#REF!</v>
      </c>
      <c r="I30" s="80"/>
      <c r="J30" s="78" t="e">
        <f>SUM(J25:J29)</f>
        <v>#REF!</v>
      </c>
      <c r="L30" s="78" t="e">
        <f>SUM(L25:L29)</f>
        <v>#REF!</v>
      </c>
    </row>
    <row r="31" spans="1:15" ht="12" customHeight="1">
      <c r="H31" s="78"/>
      <c r="I31" s="80"/>
      <c r="J31" s="78"/>
      <c r="L31" s="78"/>
    </row>
    <row r="32" spans="1:15" ht="12" customHeight="1">
      <c r="A32" s="68" t="s">
        <v>198</v>
      </c>
      <c r="H32" s="78" t="e">
        <f>#REF!</f>
        <v>#REF!</v>
      </c>
      <c r="I32" s="80"/>
      <c r="J32" s="78" t="e">
        <f>#REF!</f>
        <v>#REF!</v>
      </c>
      <c r="L32" s="78" t="e">
        <f>IS!#REF!-BS!#REF!</f>
        <v>#REF!</v>
      </c>
      <c r="O32" s="81">
        <f>'[47]Statement of FP'!L11+'[47]Income Statement'!H10-'[47]Trial balance'!F16</f>
        <v>109253.03560000005</v>
      </c>
    </row>
    <row r="33" spans="1:15" ht="12" customHeight="1">
      <c r="H33" s="78"/>
      <c r="I33" s="80"/>
      <c r="J33" s="78"/>
      <c r="L33" s="78"/>
    </row>
    <row r="34" spans="1:15" ht="12" customHeight="1">
      <c r="A34" s="68" t="s">
        <v>235</v>
      </c>
      <c r="H34" s="78" t="e">
        <f>#REF!</f>
        <v>#REF!</v>
      </c>
      <c r="I34" s="80"/>
      <c r="J34" s="78" t="e">
        <f>#REF!</f>
        <v>#REF!</v>
      </c>
      <c r="L34" s="78" t="e">
        <f>IS!#REF!-497890</f>
        <v>#REF!</v>
      </c>
    </row>
    <row r="35" spans="1:15" ht="12" customHeight="1">
      <c r="H35" s="74"/>
      <c r="I35" s="80"/>
      <c r="J35" s="74"/>
      <c r="L35" s="74"/>
    </row>
    <row r="36" spans="1:15" ht="12" customHeight="1">
      <c r="A36" s="71" t="s">
        <v>41</v>
      </c>
      <c r="B36" s="71"/>
      <c r="H36" s="88" t="e">
        <f>H17+H22+H30+H32+H34</f>
        <v>#REF!</v>
      </c>
      <c r="J36" s="88" t="e">
        <f>J17+J22+J30+J32+#REF!+J34</f>
        <v>#REF!</v>
      </c>
      <c r="L36" s="70" t="e">
        <f>#REF!+L32+L30+L17+L22+L34</f>
        <v>#REF!</v>
      </c>
      <c r="O36" s="68">
        <f>483+'[47]Income Statement'!H12-0</f>
        <v>33952.508000000002</v>
      </c>
    </row>
    <row r="37" spans="1:15" ht="12" customHeight="1">
      <c r="H37" s="70"/>
      <c r="J37" s="70"/>
      <c r="L37" s="70"/>
    </row>
    <row r="38" spans="1:15" ht="12" customHeight="1">
      <c r="H38" s="70"/>
      <c r="J38" s="70"/>
      <c r="L38" s="70"/>
    </row>
    <row r="39" spans="1:15" ht="12" customHeight="1">
      <c r="A39" s="54" t="s">
        <v>37</v>
      </c>
      <c r="B39" s="54"/>
      <c r="H39" s="70"/>
      <c r="J39" s="70"/>
      <c r="L39" s="70"/>
    </row>
    <row r="40" spans="1:15" ht="12" customHeight="1">
      <c r="A40" s="54"/>
      <c r="B40" s="54"/>
      <c r="H40" s="70"/>
      <c r="J40" s="70"/>
      <c r="L40" s="70"/>
    </row>
    <row r="41" spans="1:15" ht="12" customHeight="1">
      <c r="A41" s="68" t="s">
        <v>42</v>
      </c>
      <c r="B41" s="54"/>
      <c r="H41" s="78" t="e">
        <f>#REF!</f>
        <v>#REF!</v>
      </c>
      <c r="J41" s="78" t="e">
        <f>+H41-L41</f>
        <v>#REF!</v>
      </c>
      <c r="L41" s="78" t="e">
        <f>UHF!#REF!</f>
        <v>#REF!</v>
      </c>
    </row>
    <row r="42" spans="1:15" ht="12" customHeight="1">
      <c r="B42" s="54"/>
      <c r="H42" s="78"/>
      <c r="J42" s="78"/>
      <c r="L42" s="78"/>
    </row>
    <row r="43" spans="1:15" ht="12" customHeight="1">
      <c r="B43" s="54"/>
      <c r="H43" s="78"/>
      <c r="J43" s="78"/>
      <c r="L43" s="78"/>
    </row>
    <row r="44" spans="1:15" ht="12" customHeight="1">
      <c r="A44" s="54" t="s">
        <v>43</v>
      </c>
      <c r="B44" s="47"/>
      <c r="H44" s="87" t="e">
        <f>H41</f>
        <v>#REF!</v>
      </c>
      <c r="J44" s="87" t="e">
        <f>J41</f>
        <v>#REF!</v>
      </c>
      <c r="L44" s="78" t="e">
        <f>L41</f>
        <v>#REF!</v>
      </c>
    </row>
    <row r="45" spans="1:15" ht="12" customHeight="1">
      <c r="H45" s="74"/>
      <c r="J45" s="74"/>
      <c r="L45" s="74"/>
    </row>
    <row r="46" spans="1:15" ht="12" customHeight="1">
      <c r="A46" s="54" t="s">
        <v>44</v>
      </c>
      <c r="B46" s="47"/>
      <c r="H46" s="70" t="e">
        <f>H36+H44</f>
        <v>#REF!</v>
      </c>
      <c r="J46" s="70" t="e">
        <f>J36+J44</f>
        <v>#REF!</v>
      </c>
      <c r="L46" s="70" t="e">
        <f>L36+L44</f>
        <v>#REF!</v>
      </c>
    </row>
    <row r="47" spans="1:15" ht="12" customHeight="1">
      <c r="A47" s="54"/>
      <c r="B47" s="47"/>
      <c r="H47" s="70"/>
      <c r="J47" s="70"/>
      <c r="L47" s="70"/>
    </row>
    <row r="48" spans="1:15" ht="12" customHeight="1">
      <c r="A48" s="47" t="s">
        <v>38</v>
      </c>
      <c r="B48" s="47"/>
      <c r="H48" s="70">
        <v>0</v>
      </c>
      <c r="J48" s="70" t="e">
        <f>BS!#REF!</f>
        <v>#REF!</v>
      </c>
      <c r="L48" s="70">
        <v>0</v>
      </c>
    </row>
    <row r="49" spans="1:16" ht="12" customHeight="1">
      <c r="A49" s="47"/>
      <c r="B49" s="47"/>
      <c r="D49" s="47"/>
      <c r="E49" s="47"/>
      <c r="F49" s="47"/>
      <c r="H49" s="70"/>
      <c r="J49" s="70"/>
      <c r="L49" s="70"/>
    </row>
    <row r="50" spans="1:16" ht="12" customHeight="1" thickBot="1">
      <c r="A50" s="54" t="s">
        <v>39</v>
      </c>
      <c r="B50" s="47"/>
      <c r="D50" s="47"/>
      <c r="E50" s="47"/>
      <c r="F50" s="82"/>
      <c r="H50" s="83" t="e">
        <f>H48+H46</f>
        <v>#REF!</v>
      </c>
      <c r="I50" s="80"/>
      <c r="J50" s="83" t="e">
        <f>J48+J46</f>
        <v>#REF!</v>
      </c>
      <c r="L50" s="83" t="e">
        <f>L48+L46</f>
        <v>#REF!</v>
      </c>
      <c r="P50" s="80"/>
    </row>
    <row r="51" spans="1:16" s="47" customFormat="1" ht="12" customHeight="1" thickTop="1">
      <c r="D51" s="49"/>
      <c r="E51" s="49"/>
      <c r="F51" s="49"/>
      <c r="J51" s="84"/>
      <c r="K51" s="68"/>
      <c r="L51" s="84" t="e">
        <f>BS!#REF!</f>
        <v>#REF!</v>
      </c>
      <c r="M51" s="84"/>
      <c r="N51" s="84"/>
    </row>
    <row r="52" spans="1:16" s="47" customFormat="1" ht="12" customHeight="1">
      <c r="D52" s="49"/>
      <c r="E52" s="49"/>
      <c r="F52" s="49"/>
      <c r="J52" s="84"/>
      <c r="K52" s="68"/>
      <c r="L52" s="91" t="e">
        <f>L50-L51</f>
        <v>#REF!</v>
      </c>
      <c r="M52" s="84"/>
      <c r="N52" s="84"/>
    </row>
    <row r="53" spans="1:16" s="47" customFormat="1" ht="12" customHeight="1">
      <c r="D53" s="49"/>
      <c r="E53" s="49"/>
      <c r="F53" s="49"/>
      <c r="J53" s="84"/>
      <c r="K53" s="68"/>
      <c r="L53" s="91"/>
      <c r="M53" s="84"/>
      <c r="N53" s="84"/>
    </row>
    <row r="54" spans="1:16" s="47" customFormat="1" ht="12" customHeight="1" thickBot="1">
      <c r="D54" s="49"/>
      <c r="E54" s="49"/>
      <c r="F54" s="49"/>
      <c r="J54" s="84"/>
      <c r="K54" s="68" t="s">
        <v>47</v>
      </c>
      <c r="L54" s="84"/>
      <c r="M54" s="84"/>
      <c r="N54" s="84"/>
    </row>
    <row r="55" spans="1:16" s="47" customFormat="1" ht="12" customHeight="1">
      <c r="D55" s="49"/>
      <c r="E55" s="49"/>
      <c r="F55" s="49"/>
      <c r="H55" s="56"/>
      <c r="J55" s="84"/>
      <c r="K55" s="92">
        <f>BS!H10</f>
        <v>673008</v>
      </c>
      <c r="M55" s="84"/>
      <c r="N55" s="84"/>
    </row>
    <row r="56" spans="1:16" s="47" customFormat="1" ht="12" customHeight="1" thickBot="1">
      <c r="A56" s="47" t="e">
        <f>#REF!</f>
        <v>#REF!</v>
      </c>
      <c r="D56" s="49"/>
      <c r="E56" s="49"/>
      <c r="F56" s="49"/>
      <c r="H56" s="18"/>
      <c r="K56" s="93" t="e">
        <f>H50-K55</f>
        <v>#REF!</v>
      </c>
      <c r="L56" s="54" t="s">
        <v>197</v>
      </c>
    </row>
    <row r="57" spans="1:16" s="47" customFormat="1" ht="12" customHeight="1">
      <c r="D57" s="49"/>
      <c r="E57" s="49"/>
      <c r="F57" s="49"/>
      <c r="H57" s="18"/>
      <c r="K57" s="68"/>
      <c r="L57" s="18"/>
      <c r="M57" s="89"/>
    </row>
    <row r="58" spans="1:16" s="47" customFormat="1" ht="12" customHeight="1">
      <c r="D58" s="49"/>
      <c r="E58" s="49"/>
      <c r="F58" s="49"/>
      <c r="H58" s="56"/>
      <c r="K58" s="90" t="e">
        <f>H50-J50</f>
        <v>#REF!</v>
      </c>
    </row>
    <row r="59" spans="1:16" s="47" customFormat="1" ht="12" customHeight="1">
      <c r="D59" s="49"/>
      <c r="E59" s="49"/>
      <c r="F59" s="49"/>
      <c r="K59" s="68"/>
    </row>
    <row r="60" spans="1:16" s="47" customFormat="1" ht="12" customHeight="1">
      <c r="D60" s="49"/>
      <c r="E60" s="49"/>
      <c r="F60" s="49"/>
      <c r="I60" s="56"/>
      <c r="K60" s="68"/>
    </row>
    <row r="61" spans="1:16" s="47" customFormat="1" ht="12" customHeight="1">
      <c r="A61" s="860" t="e">
        <f>#REF!</f>
        <v>#REF!</v>
      </c>
      <c r="B61" s="860"/>
      <c r="C61" s="860"/>
      <c r="D61" s="860"/>
      <c r="E61" s="860"/>
      <c r="F61" s="860"/>
      <c r="G61" s="860"/>
      <c r="H61" s="860"/>
      <c r="K61" s="68"/>
    </row>
    <row r="62" spans="1:16" s="47" customFormat="1" ht="12" customHeight="1">
      <c r="A62" s="860" t="e">
        <f>#REF!</f>
        <v>#REF!</v>
      </c>
      <c r="B62" s="860"/>
      <c r="C62" s="860"/>
      <c r="D62" s="860"/>
      <c r="E62" s="860"/>
      <c r="F62" s="860"/>
      <c r="G62" s="860"/>
      <c r="H62" s="860"/>
      <c r="K62" s="68"/>
    </row>
    <row r="63" spans="1:16" s="47" customFormat="1" ht="12" customHeight="1">
      <c r="A63" s="59"/>
      <c r="B63" s="59"/>
      <c r="C63" s="59"/>
      <c r="D63" s="59"/>
      <c r="E63" s="59"/>
      <c r="F63" s="59"/>
      <c r="G63" s="59"/>
      <c r="H63" s="59"/>
      <c r="K63" s="68"/>
    </row>
    <row r="64" spans="1:16" s="47" customFormat="1" ht="12" customHeight="1">
      <c r="A64" s="59"/>
      <c r="B64" s="59"/>
      <c r="C64" s="59"/>
      <c r="D64" s="59"/>
      <c r="E64" s="59"/>
      <c r="F64" s="59"/>
      <c r="G64" s="59"/>
      <c r="H64" s="59"/>
      <c r="K64" s="68"/>
    </row>
    <row r="65" spans="1:11" s="47" customFormat="1" ht="12" customHeight="1">
      <c r="A65" s="59"/>
      <c r="B65" s="59"/>
      <c r="C65" s="59"/>
      <c r="D65" s="59"/>
      <c r="E65" s="59"/>
      <c r="F65" s="59"/>
      <c r="G65" s="59"/>
      <c r="H65" s="59"/>
      <c r="K65" s="68"/>
    </row>
    <row r="66" spans="1:11" s="47" customFormat="1" ht="12" customHeight="1">
      <c r="A66" s="59"/>
      <c r="B66" s="59"/>
      <c r="C66" s="59"/>
      <c r="D66" s="60"/>
      <c r="E66" s="60"/>
      <c r="F66" s="60"/>
      <c r="G66" s="59"/>
      <c r="H66" s="59"/>
      <c r="K66" s="68"/>
    </row>
    <row r="67" spans="1:11" s="47" customFormat="1" ht="12" customHeight="1">
      <c r="A67" s="59"/>
      <c r="B67" s="59"/>
      <c r="C67" s="59"/>
      <c r="D67" s="60"/>
      <c r="E67" s="60"/>
      <c r="F67" s="60"/>
      <c r="G67" s="59"/>
      <c r="H67" s="59"/>
      <c r="K67" s="68"/>
    </row>
    <row r="68" spans="1:11" s="47" customFormat="1" ht="12" customHeight="1">
      <c r="A68" s="59" t="e">
        <f>#REF!</f>
        <v>#REF!</v>
      </c>
      <c r="B68" s="59"/>
      <c r="C68" s="59"/>
      <c r="D68" s="49"/>
      <c r="E68" s="49"/>
      <c r="F68" s="49"/>
      <c r="G68" s="57"/>
      <c r="H68" s="61"/>
    </row>
    <row r="69" spans="1:11" s="47" customFormat="1">
      <c r="A69" s="85"/>
      <c r="B69" s="85"/>
      <c r="C69" s="86"/>
      <c r="D69" s="49"/>
      <c r="E69" s="49"/>
      <c r="F69" s="49"/>
      <c r="G69" s="86"/>
      <c r="H69" s="86"/>
    </row>
    <row r="98" spans="8:18">
      <c r="H98" s="68">
        <f>SUM(H78:H97)</f>
        <v>0</v>
      </c>
      <c r="R98" s="68" t="e">
        <v>#VALUE!</v>
      </c>
    </row>
    <row r="101" spans="8:18">
      <c r="R101" s="68" t="e">
        <v>#VALUE!</v>
      </c>
    </row>
    <row r="132" spans="8:18">
      <c r="H132" s="68">
        <f>SUM(H118:H130)</f>
        <v>0</v>
      </c>
      <c r="R132" s="68" t="e">
        <v>#VALUE!</v>
      </c>
    </row>
    <row r="135" spans="8:18">
      <c r="H135" s="68">
        <f>H132</f>
        <v>0</v>
      </c>
      <c r="R135" s="68" t="e">
        <v>#VALUE!</v>
      </c>
    </row>
  </sheetData>
  <mergeCells count="2">
    <mergeCell ref="A61:H61"/>
    <mergeCell ref="A62:H62"/>
  </mergeCells>
  <phoneticPr fontId="69" type="noConversion"/>
  <conditionalFormatting sqref="I50 H2">
    <cfRule type="cellIs" dxfId="0" priority="1" stopIfTrue="1" operator="notEqual">
      <formula>0</formula>
    </cfRule>
  </conditionalFormatting>
  <printOptions horizontalCentered="1"/>
  <pageMargins left="0.75" right="0.5" top="0.5" bottom="0.25" header="0.5" footer="0.17"/>
  <pageSetup paperSize="9" scale="9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0"/>
  </sheetPr>
  <dimension ref="A1:U154"/>
  <sheetViews>
    <sheetView workbookViewId="0"/>
  </sheetViews>
  <sheetFormatPr defaultRowHeight="12"/>
  <cols>
    <col min="1" max="1" width="4.625" style="190" customWidth="1"/>
    <col min="2" max="2" width="3.625" style="190" customWidth="1"/>
    <col min="3" max="3" width="13.5" style="190" customWidth="1"/>
    <col min="4" max="4" width="6" style="190" customWidth="1"/>
    <col min="5" max="5" width="5.625" style="190" customWidth="1"/>
    <col min="6" max="6" width="5.625" style="202" customWidth="1"/>
    <col min="7" max="7" width="5.875" style="202" customWidth="1"/>
    <col min="8" max="8" width="5.375" style="202" customWidth="1"/>
    <col min="9" max="9" width="4.875" style="202" customWidth="1"/>
    <col min="10" max="10" width="4.5" style="202" customWidth="1"/>
    <col min="11" max="11" width="5.875" style="202" customWidth="1"/>
    <col min="12" max="12" width="6" style="203" customWidth="1"/>
    <col min="13" max="13" width="0.875" style="203" customWidth="1"/>
    <col min="14" max="14" width="6" style="203" customWidth="1"/>
    <col min="15" max="15" width="5.625" style="203" customWidth="1"/>
    <col min="16" max="16384" width="9" style="190"/>
  </cols>
  <sheetData>
    <row r="1" spans="1:16">
      <c r="A1" s="260" t="e">
        <f>+#REF!+1</f>
        <v>#REF!</v>
      </c>
      <c r="B1" s="261"/>
      <c r="C1" s="261"/>
      <c r="D1" s="262"/>
      <c r="E1" s="262"/>
      <c r="F1" s="263"/>
      <c r="G1" s="263"/>
      <c r="H1" s="263"/>
      <c r="I1" s="263"/>
      <c r="J1" s="263"/>
      <c r="K1" s="263"/>
      <c r="L1" s="264"/>
      <c r="M1" s="264"/>
      <c r="N1" s="264"/>
      <c r="O1" s="265"/>
    </row>
    <row r="2" spans="1:16">
      <c r="B2" s="185"/>
      <c r="C2" s="185"/>
      <c r="D2" s="186"/>
      <c r="E2" s="186"/>
      <c r="F2" s="187"/>
      <c r="G2" s="187"/>
      <c r="H2" s="187"/>
      <c r="I2" s="187"/>
      <c r="J2" s="187"/>
      <c r="K2" s="187"/>
      <c r="L2" s="188"/>
      <c r="M2" s="188"/>
      <c r="N2" s="188"/>
      <c r="O2" s="189"/>
    </row>
    <row r="3" spans="1:16" s="110" customFormat="1">
      <c r="A3" s="107"/>
      <c r="B3" s="869" t="s">
        <v>174</v>
      </c>
      <c r="C3" s="869"/>
      <c r="D3" s="869"/>
      <c r="E3" s="869"/>
      <c r="F3" s="869"/>
      <c r="G3" s="869"/>
      <c r="H3" s="869"/>
      <c r="I3" s="869"/>
      <c r="J3" s="869"/>
      <c r="K3" s="869"/>
      <c r="L3" s="869"/>
      <c r="M3" s="869"/>
      <c r="N3" s="869"/>
      <c r="O3" s="869"/>
    </row>
    <row r="4" spans="1:16" s="110" customFormat="1">
      <c r="A4" s="107"/>
      <c r="B4" s="869"/>
      <c r="C4" s="869"/>
      <c r="D4" s="869"/>
      <c r="E4" s="869"/>
      <c r="F4" s="869"/>
      <c r="G4" s="869"/>
      <c r="H4" s="869"/>
      <c r="I4" s="869"/>
      <c r="J4" s="869"/>
      <c r="K4" s="869"/>
      <c r="L4" s="869"/>
      <c r="M4" s="869"/>
      <c r="N4" s="869"/>
      <c r="O4" s="869"/>
    </row>
    <row r="5" spans="1:16" s="110" customFormat="1">
      <c r="A5" s="107"/>
      <c r="B5" s="869"/>
      <c r="C5" s="869"/>
      <c r="D5" s="869"/>
      <c r="E5" s="869"/>
      <c r="F5" s="869"/>
      <c r="G5" s="869"/>
      <c r="H5" s="869"/>
      <c r="I5" s="869"/>
      <c r="J5" s="869"/>
      <c r="K5" s="869"/>
      <c r="L5" s="869"/>
      <c r="M5" s="869"/>
      <c r="N5" s="869"/>
      <c r="O5" s="869"/>
    </row>
    <row r="6" spans="1:16" s="110" customFormat="1">
      <c r="A6" s="107"/>
      <c r="B6" s="869"/>
      <c r="C6" s="869"/>
      <c r="D6" s="869"/>
      <c r="E6" s="869"/>
      <c r="F6" s="869"/>
      <c r="G6" s="869"/>
      <c r="H6" s="869"/>
      <c r="I6" s="869"/>
      <c r="J6" s="869"/>
      <c r="K6" s="869"/>
      <c r="L6" s="869"/>
      <c r="M6" s="869"/>
      <c r="N6" s="869"/>
      <c r="O6" s="869"/>
    </row>
    <row r="7" spans="1:16" s="110" customFormat="1">
      <c r="A7" s="107"/>
      <c r="B7" s="869"/>
      <c r="C7" s="869"/>
      <c r="D7" s="869"/>
      <c r="E7" s="869"/>
      <c r="F7" s="869"/>
      <c r="G7" s="869"/>
      <c r="H7" s="869"/>
      <c r="I7" s="869"/>
      <c r="J7" s="869"/>
      <c r="K7" s="869"/>
      <c r="L7" s="869"/>
      <c r="M7" s="869"/>
      <c r="N7" s="869"/>
      <c r="O7" s="869"/>
    </row>
    <row r="8" spans="1:16" s="110" customFormat="1">
      <c r="A8" s="107"/>
      <c r="B8" s="869"/>
      <c r="C8" s="869"/>
      <c r="D8" s="869"/>
      <c r="E8" s="869"/>
      <c r="F8" s="869"/>
      <c r="G8" s="869"/>
      <c r="H8" s="869"/>
      <c r="I8" s="869"/>
      <c r="J8" s="869"/>
      <c r="K8" s="869"/>
      <c r="L8" s="869"/>
      <c r="M8" s="869"/>
      <c r="N8" s="869"/>
      <c r="O8" s="869"/>
    </row>
    <row r="9" spans="1:16" s="110" customFormat="1" ht="8.1" customHeight="1">
      <c r="A9" s="107"/>
      <c r="B9" s="172"/>
      <c r="C9" s="172"/>
      <c r="D9" s="172"/>
      <c r="E9" s="172"/>
      <c r="F9" s="172"/>
      <c r="G9" s="172"/>
      <c r="H9" s="172"/>
      <c r="I9" s="173"/>
    </row>
    <row r="10" spans="1:16" s="110" customFormat="1">
      <c r="A10" s="107"/>
      <c r="B10" s="959" t="s">
        <v>175</v>
      </c>
      <c r="C10" s="959"/>
      <c r="D10" s="959"/>
      <c r="E10" s="959"/>
      <c r="F10" s="959"/>
      <c r="G10" s="959"/>
      <c r="H10" s="959"/>
      <c r="I10" s="959"/>
      <c r="J10" s="959"/>
      <c r="K10" s="959"/>
      <c r="L10" s="959"/>
      <c r="M10" s="959"/>
      <c r="N10" s="959"/>
      <c r="O10" s="959"/>
    </row>
    <row r="11" spans="1:16" s="110" customFormat="1">
      <c r="A11" s="107"/>
      <c r="B11" s="959"/>
      <c r="C11" s="959"/>
      <c r="D11" s="959"/>
      <c r="E11" s="959"/>
      <c r="F11" s="959"/>
      <c r="G11" s="959"/>
      <c r="H11" s="959"/>
      <c r="I11" s="959"/>
      <c r="J11" s="959"/>
      <c r="K11" s="959"/>
      <c r="L11" s="959"/>
      <c r="M11" s="959"/>
      <c r="N11" s="959"/>
      <c r="O11" s="959"/>
    </row>
    <row r="12" spans="1:16" s="110" customFormat="1" ht="8.1" customHeight="1">
      <c r="A12" s="107"/>
      <c r="B12" s="116"/>
      <c r="C12" s="116"/>
      <c r="D12" s="116"/>
      <c r="E12" s="116"/>
      <c r="F12" s="116"/>
      <c r="G12" s="116"/>
      <c r="H12" s="116"/>
      <c r="I12" s="117"/>
    </row>
    <row r="13" spans="1:16" s="110" customFormat="1">
      <c r="A13" s="107" t="s">
        <v>68</v>
      </c>
      <c r="B13" s="122" t="s">
        <v>251</v>
      </c>
      <c r="C13" s="122"/>
      <c r="D13" s="123"/>
      <c r="E13" s="123"/>
      <c r="F13" s="39"/>
      <c r="G13" s="124"/>
      <c r="H13" s="18"/>
      <c r="I13" s="123"/>
      <c r="J13" s="113"/>
      <c r="K13" s="113"/>
    </row>
    <row r="14" spans="1:16" s="110" customFormat="1" ht="8.1" customHeight="1">
      <c r="A14" s="107"/>
      <c r="B14" s="123"/>
      <c r="C14" s="123"/>
      <c r="D14" s="123"/>
      <c r="E14" s="123"/>
      <c r="F14" s="39"/>
      <c r="G14" s="124"/>
      <c r="H14" s="18"/>
      <c r="I14" s="123"/>
      <c r="J14" s="113"/>
      <c r="K14" s="113"/>
    </row>
    <row r="15" spans="1:16" s="110" customFormat="1">
      <c r="A15" s="107"/>
      <c r="B15" s="870" t="s">
        <v>69</v>
      </c>
      <c r="C15" s="870"/>
      <c r="D15" s="870"/>
      <c r="E15" s="870"/>
      <c r="F15" s="870"/>
      <c r="G15" s="870"/>
      <c r="H15" s="870"/>
      <c r="I15" s="870"/>
      <c r="J15" s="870"/>
      <c r="K15" s="870"/>
      <c r="L15" s="870"/>
      <c r="M15" s="870"/>
      <c r="N15" s="870"/>
      <c r="O15" s="870"/>
      <c r="P15" s="125"/>
    </row>
    <row r="16" spans="1:16" s="110" customFormat="1">
      <c r="A16" s="107"/>
      <c r="B16" s="870"/>
      <c r="C16" s="870"/>
      <c r="D16" s="870"/>
      <c r="E16" s="870"/>
      <c r="F16" s="870"/>
      <c r="G16" s="870"/>
      <c r="H16" s="870"/>
      <c r="I16" s="870"/>
      <c r="J16" s="870"/>
      <c r="K16" s="870"/>
      <c r="L16" s="870"/>
      <c r="M16" s="870"/>
      <c r="N16" s="870"/>
      <c r="O16" s="870"/>
    </row>
    <row r="17" spans="1:21" s="110" customFormat="1" ht="8.1" customHeight="1">
      <c r="A17" s="107"/>
      <c r="B17" s="113"/>
      <c r="C17" s="113"/>
      <c r="D17" s="113"/>
      <c r="E17" s="113"/>
      <c r="F17" s="113"/>
      <c r="G17" s="113"/>
      <c r="H17" s="113"/>
      <c r="I17" s="113"/>
      <c r="J17" s="113"/>
      <c r="K17" s="113"/>
    </row>
    <row r="18" spans="1:21" s="110" customFormat="1">
      <c r="A18" s="107">
        <v>3.11</v>
      </c>
      <c r="B18" s="108" t="s">
        <v>52</v>
      </c>
      <c r="C18" s="108"/>
      <c r="D18" s="108"/>
      <c r="F18" s="112"/>
      <c r="G18" s="112"/>
      <c r="H18" s="112"/>
      <c r="I18" s="112"/>
      <c r="J18" s="112"/>
      <c r="O18" s="113"/>
    </row>
    <row r="19" spans="1:21" s="110" customFormat="1" ht="8.1" customHeight="1">
      <c r="A19" s="107"/>
      <c r="F19" s="112"/>
      <c r="G19" s="112"/>
      <c r="H19" s="112"/>
      <c r="I19" s="112"/>
      <c r="J19" s="112"/>
      <c r="O19" s="113"/>
    </row>
    <row r="20" spans="1:21" s="110" customFormat="1">
      <c r="B20" s="118" t="s">
        <v>70</v>
      </c>
      <c r="C20" s="870" t="s">
        <v>85</v>
      </c>
      <c r="D20" s="870"/>
      <c r="E20" s="870"/>
      <c r="F20" s="870"/>
      <c r="G20" s="870"/>
      <c r="H20" s="870"/>
      <c r="I20" s="870"/>
      <c r="J20" s="870"/>
      <c r="K20" s="870"/>
      <c r="L20" s="870"/>
      <c r="M20" s="870"/>
      <c r="N20" s="870"/>
      <c r="O20" s="870"/>
    </row>
    <row r="21" spans="1:21" s="110" customFormat="1">
      <c r="B21" s="126"/>
      <c r="C21" s="870"/>
      <c r="D21" s="870"/>
      <c r="E21" s="870"/>
      <c r="F21" s="870"/>
      <c r="G21" s="870"/>
      <c r="H21" s="870"/>
      <c r="I21" s="870"/>
      <c r="J21" s="870"/>
      <c r="K21" s="870"/>
      <c r="L21" s="870"/>
      <c r="M21" s="870"/>
      <c r="N21" s="870"/>
      <c r="O21" s="870"/>
    </row>
    <row r="22" spans="1:21" s="110" customFormat="1">
      <c r="B22" s="118" t="s">
        <v>70</v>
      </c>
      <c r="C22" s="110" t="s">
        <v>87</v>
      </c>
      <c r="N22" s="127"/>
    </row>
    <row r="23" spans="1:21" s="110" customFormat="1">
      <c r="B23" s="118" t="s">
        <v>70</v>
      </c>
      <c r="C23" s="110" t="s">
        <v>88</v>
      </c>
      <c r="J23" s="127"/>
      <c r="K23" s="127"/>
      <c r="L23" s="127"/>
      <c r="M23" s="127"/>
      <c r="N23" s="127"/>
    </row>
    <row r="24" spans="1:21" s="110" customFormat="1" ht="8.1" customHeight="1">
      <c r="B24" s="118"/>
      <c r="C24" s="118"/>
      <c r="J24" s="127"/>
      <c r="K24" s="127"/>
      <c r="L24" s="127"/>
      <c r="M24" s="127"/>
      <c r="N24" s="127"/>
    </row>
    <row r="25" spans="1:21" s="110" customFormat="1">
      <c r="A25" s="118"/>
      <c r="E25" s="112"/>
      <c r="K25" s="254" t="s">
        <v>237</v>
      </c>
      <c r="L25" s="121"/>
      <c r="N25" s="253" t="s">
        <v>205</v>
      </c>
      <c r="O25" s="121"/>
    </row>
    <row r="26" spans="1:21" s="110" customFormat="1">
      <c r="A26" s="118"/>
      <c r="E26" s="112"/>
      <c r="K26" s="121"/>
      <c r="L26" s="121"/>
      <c r="N26" s="253" t="s">
        <v>206</v>
      </c>
      <c r="O26" s="121"/>
    </row>
    <row r="27" spans="1:21" s="132" customFormat="1">
      <c r="D27" s="130"/>
      <c r="E27" s="131"/>
      <c r="H27" s="40"/>
      <c r="K27" s="255"/>
      <c r="L27" s="255"/>
      <c r="M27" s="133"/>
      <c r="N27" s="254" t="s">
        <v>271</v>
      </c>
      <c r="O27" s="255"/>
    </row>
    <row r="28" spans="1:21" s="132" customFormat="1">
      <c r="A28" s="128">
        <v>4</v>
      </c>
      <c r="B28" s="129" t="s">
        <v>53</v>
      </c>
      <c r="C28" s="129"/>
      <c r="D28" s="130"/>
      <c r="E28" s="131"/>
      <c r="H28" s="136"/>
      <c r="K28" s="266"/>
      <c r="L28" s="255"/>
      <c r="M28" s="137"/>
      <c r="N28" s="256" t="s">
        <v>202</v>
      </c>
      <c r="O28" s="255"/>
    </row>
    <row r="29" spans="1:21" s="132" customFormat="1" ht="8.1" customHeight="1">
      <c r="A29" s="128"/>
      <c r="B29" s="129"/>
      <c r="C29" s="129"/>
      <c r="D29" s="130"/>
      <c r="E29" s="131"/>
      <c r="H29" s="136"/>
      <c r="K29" s="266"/>
      <c r="L29" s="255"/>
      <c r="M29" s="137"/>
      <c r="N29" s="256"/>
      <c r="O29" s="255"/>
    </row>
    <row r="30" spans="1:21" s="132" customFormat="1">
      <c r="A30" s="135"/>
      <c r="B30" s="138" t="s">
        <v>67</v>
      </c>
      <c r="C30" s="138"/>
      <c r="D30" s="130"/>
      <c r="E30" s="139"/>
      <c r="H30" s="134"/>
      <c r="K30" s="257"/>
      <c r="L30" s="255"/>
      <c r="M30" s="140"/>
      <c r="N30" s="257"/>
      <c r="O30" s="255"/>
      <c r="Q30" s="141"/>
      <c r="S30" s="36"/>
      <c r="U30" s="142"/>
    </row>
    <row r="31" spans="1:21" s="132" customFormat="1" ht="12.75" thickBot="1">
      <c r="A31" s="135"/>
      <c r="B31" s="95" t="s">
        <v>176</v>
      </c>
      <c r="C31" s="95"/>
      <c r="D31" s="130"/>
      <c r="F31" s="139"/>
      <c r="H31" s="134"/>
      <c r="K31" s="267">
        <v>4.0999999999999996</v>
      </c>
      <c r="L31" s="255"/>
      <c r="M31" s="143"/>
      <c r="N31" s="258">
        <f>BS!H11</f>
        <v>7728403</v>
      </c>
      <c r="O31" s="259"/>
      <c r="Q31" s="144"/>
      <c r="S31" s="145" t="e">
        <v>#REF!</v>
      </c>
      <c r="U31" s="146">
        <v>7685038</v>
      </c>
    </row>
    <row r="32" spans="1:21" s="132" customFormat="1" ht="8.1" customHeight="1" thickTop="1">
      <c r="A32" s="135"/>
      <c r="D32" s="130"/>
      <c r="E32" s="139"/>
      <c r="G32" s="143"/>
      <c r="H32" s="134"/>
      <c r="I32" s="143"/>
      <c r="L32" s="143"/>
      <c r="M32" s="143"/>
      <c r="N32" s="134"/>
      <c r="Q32" s="134"/>
      <c r="S32" s="145"/>
      <c r="U32" s="147"/>
    </row>
    <row r="33" spans="1:21" s="132" customFormat="1" hidden="1">
      <c r="A33" s="135"/>
      <c r="B33" s="138" t="s">
        <v>89</v>
      </c>
      <c r="C33" s="138"/>
      <c r="D33" s="130"/>
      <c r="E33" s="139"/>
      <c r="G33" s="143"/>
      <c r="H33" s="134"/>
      <c r="I33" s="143"/>
      <c r="L33" s="143"/>
      <c r="M33" s="143"/>
      <c r="N33" s="134"/>
      <c r="Q33" s="134"/>
      <c r="S33" s="145"/>
      <c r="U33" s="147"/>
    </row>
    <row r="34" spans="1:21" s="132" customFormat="1" hidden="1">
      <c r="A34" s="135"/>
      <c r="B34" s="95" t="s">
        <v>90</v>
      </c>
      <c r="C34" s="95"/>
      <c r="D34" s="130"/>
      <c r="E34" s="139"/>
      <c r="G34" s="143"/>
      <c r="H34" s="134"/>
      <c r="I34" s="143">
        <v>565542</v>
      </c>
      <c r="L34" s="143"/>
      <c r="M34" s="143"/>
      <c r="N34" s="134"/>
      <c r="Q34" s="134"/>
      <c r="S34" s="145"/>
      <c r="U34" s="147"/>
    </row>
    <row r="35" spans="1:21" s="132" customFormat="1" hidden="1">
      <c r="A35" s="135"/>
      <c r="B35" s="95" t="s">
        <v>91</v>
      </c>
      <c r="C35" s="95"/>
      <c r="D35" s="130"/>
      <c r="E35" s="139"/>
      <c r="G35" s="143"/>
      <c r="H35" s="134"/>
      <c r="I35" s="143">
        <v>25258</v>
      </c>
      <c r="L35" s="143"/>
      <c r="M35" s="143"/>
      <c r="N35" s="134"/>
      <c r="Q35" s="134"/>
      <c r="S35" s="145"/>
      <c r="U35" s="147"/>
    </row>
    <row r="36" spans="1:21" s="132" customFormat="1" ht="12.75" hidden="1" thickBot="1">
      <c r="A36" s="135"/>
      <c r="B36" s="95" t="s">
        <v>92</v>
      </c>
      <c r="C36" s="95"/>
      <c r="D36" s="130"/>
      <c r="E36" s="139"/>
      <c r="G36" s="143"/>
      <c r="H36" s="134"/>
      <c r="I36" s="148">
        <v>590800</v>
      </c>
      <c r="L36" s="143"/>
      <c r="M36" s="143"/>
      <c r="N36" s="134"/>
      <c r="Q36" s="134"/>
      <c r="S36" s="145"/>
      <c r="U36" s="147"/>
    </row>
    <row r="37" spans="1:21" s="151" customFormat="1">
      <c r="A37" s="94">
        <v>4.0999999999999996</v>
      </c>
      <c r="B37" s="106" t="s">
        <v>270</v>
      </c>
      <c r="C37" s="184"/>
      <c r="D37" s="184"/>
      <c r="E37" s="184"/>
      <c r="F37" s="184"/>
      <c r="G37" s="184"/>
      <c r="H37" s="184"/>
      <c r="I37" s="184"/>
      <c r="K37" s="110"/>
      <c r="L37" s="149"/>
      <c r="M37" s="149"/>
      <c r="N37" s="150"/>
      <c r="P37" s="110" t="s">
        <v>190</v>
      </c>
    </row>
    <row r="38" spans="1:21" s="151" customFormat="1">
      <c r="A38" s="183"/>
      <c r="B38" s="184"/>
      <c r="C38" s="184"/>
      <c r="D38" s="184"/>
      <c r="E38" s="184"/>
      <c r="F38" s="184"/>
      <c r="G38" s="184"/>
      <c r="H38" s="184"/>
      <c r="I38" s="184"/>
      <c r="J38" s="110"/>
      <c r="K38" s="110"/>
      <c r="L38" s="149"/>
      <c r="M38" s="149"/>
      <c r="N38" s="150"/>
    </row>
    <row r="39" spans="1:21" s="219" customFormat="1" ht="15.75">
      <c r="B39" s="923" t="s">
        <v>299</v>
      </c>
      <c r="C39" s="924"/>
      <c r="D39" s="961" t="s">
        <v>109</v>
      </c>
      <c r="E39" s="962"/>
      <c r="F39" s="962"/>
      <c r="G39" s="962"/>
      <c r="H39" s="963"/>
      <c r="I39" s="930" t="s">
        <v>297</v>
      </c>
      <c r="J39" s="930"/>
      <c r="K39" s="931"/>
      <c r="L39" s="930" t="s">
        <v>298</v>
      </c>
      <c r="M39" s="930"/>
      <c r="N39" s="930"/>
      <c r="O39" s="930"/>
    </row>
    <row r="40" spans="1:21" s="219" customFormat="1" ht="72">
      <c r="B40" s="925"/>
      <c r="C40" s="926"/>
      <c r="D40" s="220" t="s">
        <v>300</v>
      </c>
      <c r="E40" s="220" t="s">
        <v>272</v>
      </c>
      <c r="F40" s="221" t="s">
        <v>273</v>
      </c>
      <c r="G40" s="221" t="s">
        <v>274</v>
      </c>
      <c r="H40" s="221" t="s">
        <v>301</v>
      </c>
      <c r="I40" s="221" t="s">
        <v>302</v>
      </c>
      <c r="J40" s="221" t="s">
        <v>303</v>
      </c>
      <c r="K40" s="221" t="s">
        <v>275</v>
      </c>
      <c r="L40" s="921" t="s">
        <v>304</v>
      </c>
      <c r="M40" s="922"/>
      <c r="N40" s="222" t="s">
        <v>305</v>
      </c>
      <c r="O40" s="218" t="s">
        <v>306</v>
      </c>
    </row>
    <row r="41" spans="1:21" s="219" customFormat="1" ht="9">
      <c r="B41" s="223"/>
      <c r="C41" s="223"/>
      <c r="D41" s="223"/>
      <c r="E41" s="223"/>
      <c r="F41" s="224"/>
      <c r="G41" s="224"/>
      <c r="H41" s="224"/>
      <c r="I41" s="224"/>
      <c r="J41" s="224"/>
      <c r="K41" s="224"/>
      <c r="L41" s="225"/>
      <c r="M41" s="225"/>
      <c r="N41" s="226"/>
      <c r="O41" s="225"/>
    </row>
    <row r="42" spans="1:21" s="219" customFormat="1" ht="9">
      <c r="B42" s="227" t="s">
        <v>221</v>
      </c>
      <c r="C42" s="227"/>
      <c r="D42" s="223"/>
      <c r="E42" s="223"/>
      <c r="F42" s="224"/>
      <c r="G42" s="224"/>
      <c r="H42" s="224"/>
      <c r="I42" s="224"/>
      <c r="J42" s="224"/>
      <c r="K42" s="224"/>
      <c r="L42" s="225"/>
      <c r="M42" s="225"/>
      <c r="N42" s="226"/>
      <c r="O42" s="225"/>
    </row>
    <row r="43" spans="1:21" s="219" customFormat="1" ht="9">
      <c r="B43" s="228" t="s">
        <v>207</v>
      </c>
      <c r="C43" s="228"/>
      <c r="D43" s="229">
        <v>42903</v>
      </c>
      <c r="E43" s="230">
        <v>0</v>
      </c>
      <c r="F43" s="230">
        <v>0</v>
      </c>
      <c r="G43" s="231">
        <f>VLOOKUP(B43,'[48]PORTFOLIO-SUMM'!$C$12:$N$25,5,0)</f>
        <v>42903</v>
      </c>
      <c r="H43" s="232">
        <f t="shared" ref="H43:H56" si="0">D43+E43+F43-G43</f>
        <v>0</v>
      </c>
      <c r="I43" s="233">
        <f>ROUND(0/1000,0)</f>
        <v>0</v>
      </c>
      <c r="J43" s="232">
        <f>ROUND(0/1000,0)</f>
        <v>0</v>
      </c>
      <c r="K43" s="232">
        <f t="shared" ref="K43:K56" si="1">J43-I43</f>
        <v>0</v>
      </c>
      <c r="L43" s="234">
        <f>ROUND(J43/BS!H28,0)</f>
        <v>0</v>
      </c>
      <c r="M43" s="234"/>
      <c r="N43" s="234">
        <f>ROUND(J43/BS!H11,0)</f>
        <v>0</v>
      </c>
      <c r="O43" s="234">
        <f>'working for investmenst note'!C11</f>
        <v>0</v>
      </c>
    </row>
    <row r="44" spans="1:21" s="219" customFormat="1" ht="9">
      <c r="B44" s="235" t="s">
        <v>208</v>
      </c>
      <c r="C44" s="235"/>
      <c r="D44" s="229">
        <v>366405</v>
      </c>
      <c r="E44" s="230">
        <v>0</v>
      </c>
      <c r="F44" s="230">
        <v>0</v>
      </c>
      <c r="G44" s="231" t="e">
        <f>VLOOKUP(B44,'[48]PORTFOLIO-SUMM'!$C$12:$N$25,5,0)</f>
        <v>#N/A</v>
      </c>
      <c r="H44" s="232" t="e">
        <f t="shared" si="0"/>
        <v>#N/A</v>
      </c>
      <c r="I44" s="233">
        <f>ROUND(4762899/1000,0)</f>
        <v>4763</v>
      </c>
      <c r="J44" s="232">
        <f>ROUND(10002856.5/1000,0)</f>
        <v>10003</v>
      </c>
      <c r="K44" s="232">
        <f t="shared" si="1"/>
        <v>5240</v>
      </c>
      <c r="L44" s="234">
        <f>ROUND(J44/BS!H28,0)</f>
        <v>0</v>
      </c>
      <c r="M44" s="234"/>
      <c r="N44" s="234">
        <f>ROUND(J44/BS!H11,0)</f>
        <v>0</v>
      </c>
      <c r="O44" s="234">
        <f>'working for investmenst note'!C12</f>
        <v>0</v>
      </c>
    </row>
    <row r="45" spans="1:21" s="219" customFormat="1" ht="9">
      <c r="B45" s="235" t="s">
        <v>209</v>
      </c>
      <c r="C45" s="235"/>
      <c r="D45" s="229">
        <v>4620970</v>
      </c>
      <c r="E45" s="230">
        <v>0</v>
      </c>
      <c r="F45" s="230">
        <v>0</v>
      </c>
      <c r="G45" s="231">
        <f>VLOOKUP(B45,'[48]PORTFOLIO-SUMM'!$C$12:$N$25,5,0)</f>
        <v>0</v>
      </c>
      <c r="H45" s="232">
        <f t="shared" si="0"/>
        <v>4620970</v>
      </c>
      <c r="I45" s="233">
        <f>ROUND(97907501/1000,0)</f>
        <v>97908</v>
      </c>
      <c r="J45" s="232">
        <f>ROUND(63630756.9/1000,0)</f>
        <v>63631</v>
      </c>
      <c r="K45" s="232">
        <f t="shared" si="1"/>
        <v>-34277</v>
      </c>
      <c r="L45" s="234">
        <f>ROUND(J45/BS!H28,0)</f>
        <v>0</v>
      </c>
      <c r="M45" s="234"/>
      <c r="N45" s="234">
        <f>ROUND(J45/BS!H11,0)</f>
        <v>0</v>
      </c>
      <c r="O45" s="234">
        <f>'working for investmenst note'!C13</f>
        <v>0</v>
      </c>
    </row>
    <row r="46" spans="1:21" s="219" customFormat="1" ht="9">
      <c r="B46" s="235" t="s">
        <v>210</v>
      </c>
      <c r="C46" s="235"/>
      <c r="D46" s="229">
        <v>26620</v>
      </c>
      <c r="E46" s="230">
        <v>0</v>
      </c>
      <c r="F46" s="230">
        <v>0</v>
      </c>
      <c r="G46" s="231" t="e">
        <f>VLOOKUP(B46,'[48]PORTFOLIO-SUMM'!$C$12:$N$25,5,0)</f>
        <v>#N/A</v>
      </c>
      <c r="H46" s="232" t="e">
        <f t="shared" si="0"/>
        <v>#N/A</v>
      </c>
      <c r="I46" s="233">
        <f>ROUND(508236/1000,0)</f>
        <v>508</v>
      </c>
      <c r="J46" s="232">
        <f>ROUND(872071.2/1000,0)</f>
        <v>872</v>
      </c>
      <c r="K46" s="232">
        <f t="shared" si="1"/>
        <v>364</v>
      </c>
      <c r="L46" s="234">
        <f>ROUND(J46/BS!H28,0)</f>
        <v>0</v>
      </c>
      <c r="M46" s="234"/>
      <c r="N46" s="234">
        <f>ROUND(J46/BS!H11,0)</f>
        <v>0</v>
      </c>
      <c r="O46" s="234">
        <f>'working for investmenst note'!C14</f>
        <v>0</v>
      </c>
    </row>
    <row r="47" spans="1:21" s="219" customFormat="1" ht="9">
      <c r="B47" s="235" t="s">
        <v>211</v>
      </c>
      <c r="C47" s="235"/>
      <c r="D47" s="229">
        <v>496280</v>
      </c>
      <c r="E47" s="230">
        <v>0</v>
      </c>
      <c r="F47" s="230">
        <v>0</v>
      </c>
      <c r="G47" s="231" t="e">
        <f>VLOOKUP(B47,'[48]PORTFOLIO-SUMM'!$C$12:$N$25,5,0)</f>
        <v>#N/A</v>
      </c>
      <c r="H47" s="232" t="e">
        <f t="shared" si="0"/>
        <v>#N/A</v>
      </c>
      <c r="I47" s="233">
        <f>ROUND(7469016/1000,0)</f>
        <v>7469</v>
      </c>
      <c r="J47" s="232">
        <f>ROUND(9677460/1000,0)</f>
        <v>9677</v>
      </c>
      <c r="K47" s="232">
        <f t="shared" si="1"/>
        <v>2208</v>
      </c>
      <c r="L47" s="234">
        <f>ROUND('investment note'!J47/BS!H28,0)</f>
        <v>0</v>
      </c>
      <c r="M47" s="234"/>
      <c r="N47" s="234">
        <f>ROUND(J47/BS!H11,0)</f>
        <v>0</v>
      </c>
      <c r="O47" s="234">
        <f>'working for investmenst note'!C15</f>
        <v>0</v>
      </c>
    </row>
    <row r="48" spans="1:21" s="219" customFormat="1" ht="9">
      <c r="B48" s="235" t="s">
        <v>212</v>
      </c>
      <c r="C48" s="235"/>
      <c r="D48" s="229">
        <v>148980</v>
      </c>
      <c r="E48" s="230">
        <v>0</v>
      </c>
      <c r="F48" s="230">
        <v>0</v>
      </c>
      <c r="G48" s="231">
        <f>VLOOKUP(B48,'[48]PORTFOLIO-SUMM'!$C$12:$N$25,5,0)</f>
        <v>0</v>
      </c>
      <c r="H48" s="232">
        <f t="shared" si="0"/>
        <v>148980</v>
      </c>
      <c r="I48" s="233">
        <f>ROUND(3174543/1000,0)</f>
        <v>3175</v>
      </c>
      <c r="J48" s="232">
        <f>ROUND(2611619.4/1000,0)</f>
        <v>2612</v>
      </c>
      <c r="K48" s="232">
        <f t="shared" si="1"/>
        <v>-563</v>
      </c>
      <c r="L48" s="234">
        <f>ROUND(J48/BS!H28,0)</f>
        <v>0</v>
      </c>
      <c r="M48" s="234"/>
      <c r="N48" s="234">
        <f>ROUND(J48/BS!H11,0)</f>
        <v>0</v>
      </c>
      <c r="O48" s="234">
        <f>'working for investmenst note'!C16</f>
        <v>0</v>
      </c>
    </row>
    <row r="49" spans="2:15" s="219" customFormat="1" ht="9">
      <c r="B49" s="235" t="s">
        <v>213</v>
      </c>
      <c r="C49" s="235"/>
      <c r="D49" s="229">
        <v>1210263</v>
      </c>
      <c r="E49" s="230">
        <v>0</v>
      </c>
      <c r="F49" s="230">
        <v>0</v>
      </c>
      <c r="G49" s="231">
        <f>VLOOKUP(B49,'[48]PORTFOLIO-SUMM'!$C$12:$N$25,5,0)</f>
        <v>250000</v>
      </c>
      <c r="H49" s="232">
        <f t="shared" si="0"/>
        <v>960263</v>
      </c>
      <c r="I49" s="233">
        <f>ROUND(127346121.366953/1000,0)</f>
        <v>127346</v>
      </c>
      <c r="J49" s="232">
        <f>ROUND(118534864.72/1000,0)</f>
        <v>118535</v>
      </c>
      <c r="K49" s="232">
        <f t="shared" si="1"/>
        <v>-8811</v>
      </c>
      <c r="L49" s="234">
        <f>ROUND(J49/BS!H28,0)</f>
        <v>0</v>
      </c>
      <c r="M49" s="234"/>
      <c r="N49" s="234">
        <f>ROUND(J49/BS!H11,0)</f>
        <v>0</v>
      </c>
      <c r="O49" s="234">
        <f>'working for investmenst note'!C17</f>
        <v>0</v>
      </c>
    </row>
    <row r="50" spans="2:15" s="219" customFormat="1" ht="9">
      <c r="B50" s="235" t="s">
        <v>214</v>
      </c>
      <c r="C50" s="235"/>
      <c r="D50" s="229">
        <v>1342775</v>
      </c>
      <c r="E50" s="230">
        <v>0</v>
      </c>
      <c r="F50" s="230">
        <v>0</v>
      </c>
      <c r="G50" s="231" t="e">
        <f>VLOOKUP(B50,'[48]PORTFOLIO-SUMM'!$C$12:$N$25,5,0)</f>
        <v>#N/A</v>
      </c>
      <c r="H50" s="232" t="e">
        <f t="shared" si="0"/>
        <v>#N/A</v>
      </c>
      <c r="I50" s="233">
        <f>ROUND(117248529.683063/1000,0)</f>
        <v>117249</v>
      </c>
      <c r="J50" s="232">
        <f>ROUND(130220812/1000,0)</f>
        <v>130221</v>
      </c>
      <c r="K50" s="232">
        <f t="shared" si="1"/>
        <v>12972</v>
      </c>
      <c r="L50" s="234">
        <f>ROUND('investment note'!J50/BS!H28,0)</f>
        <v>0</v>
      </c>
      <c r="M50" s="234"/>
      <c r="N50" s="234">
        <f>ROUND(J50/BS!H11,0)</f>
        <v>0</v>
      </c>
      <c r="O50" s="234">
        <f>'working for investmenst note'!C18</f>
        <v>0</v>
      </c>
    </row>
    <row r="51" spans="2:15" s="219" customFormat="1" ht="9">
      <c r="B51" s="235" t="s">
        <v>215</v>
      </c>
      <c r="C51" s="235"/>
      <c r="D51" s="229">
        <v>3553</v>
      </c>
      <c r="E51" s="230">
        <v>0</v>
      </c>
      <c r="F51" s="230">
        <v>0</v>
      </c>
      <c r="G51" s="231" t="e">
        <f>VLOOKUP(B51,'[48]PORTFOLIO-SUMM'!$C$12:$N$25,5,0)</f>
        <v>#N/A</v>
      </c>
      <c r="H51" s="232" t="e">
        <f t="shared" si="0"/>
        <v>#N/A</v>
      </c>
      <c r="I51" s="233">
        <f>ROUND(0/1000,0)</f>
        <v>0</v>
      </c>
      <c r="J51" s="232">
        <f>ROUND(0/1000,0)</f>
        <v>0</v>
      </c>
      <c r="K51" s="232">
        <f t="shared" si="1"/>
        <v>0</v>
      </c>
      <c r="L51" s="234">
        <f>ROUND(J51/BS!H28,0)</f>
        <v>0</v>
      </c>
      <c r="M51" s="234"/>
      <c r="N51" s="234">
        <f>ROUND(J51/BS!H11,0)</f>
        <v>0</v>
      </c>
      <c r="O51" s="234">
        <f>'working for investmenst note'!C19</f>
        <v>0</v>
      </c>
    </row>
    <row r="52" spans="2:15" s="219" customFormat="1" ht="9">
      <c r="B52" s="235" t="s">
        <v>216</v>
      </c>
      <c r="C52" s="235"/>
      <c r="D52" s="229">
        <v>10779325</v>
      </c>
      <c r="E52" s="230">
        <v>0</v>
      </c>
      <c r="F52" s="230">
        <v>0</v>
      </c>
      <c r="G52" s="231">
        <f>VLOOKUP(B52,'[48]PORTFOLIO-SUMM'!$C$12:$N$25,5,0)</f>
        <v>3450000</v>
      </c>
      <c r="H52" s="232">
        <f t="shared" si="0"/>
        <v>7329325</v>
      </c>
      <c r="I52" s="233">
        <f>ROUND(553414801.693476/1000,0)</f>
        <v>553415</v>
      </c>
      <c r="J52" s="232">
        <f>ROUND(545081900.25/1000,0)</f>
        <v>545082</v>
      </c>
      <c r="K52" s="232">
        <f t="shared" si="1"/>
        <v>-8333</v>
      </c>
      <c r="L52" s="234">
        <f>ROUND(J52/BS!H28,0)</f>
        <v>0</v>
      </c>
      <c r="M52" s="234"/>
      <c r="N52" s="234">
        <f>ROUND(J52/BS!H11,0)</f>
        <v>0</v>
      </c>
      <c r="O52" s="234">
        <f>'working for investmenst note'!C20</f>
        <v>0</v>
      </c>
    </row>
    <row r="53" spans="2:15" s="219" customFormat="1" ht="9">
      <c r="B53" s="235" t="s">
        <v>217</v>
      </c>
      <c r="C53" s="235"/>
      <c r="D53" s="229">
        <v>1696039</v>
      </c>
      <c r="E53" s="230">
        <v>0</v>
      </c>
      <c r="F53" s="230">
        <v>0</v>
      </c>
      <c r="G53" s="231">
        <f>VLOOKUP(B53,'[48]PORTFOLIO-SUMM'!$C$12:$N$25,5,0)</f>
        <v>750000</v>
      </c>
      <c r="H53" s="232">
        <f t="shared" si="0"/>
        <v>946039</v>
      </c>
      <c r="I53" s="233">
        <f>ROUND(3758021.15799106/1000,0)</f>
        <v>3758</v>
      </c>
      <c r="J53" s="232">
        <f>ROUND(4540987.2/1000,0)</f>
        <v>4541</v>
      </c>
      <c r="K53" s="232">
        <f t="shared" si="1"/>
        <v>783</v>
      </c>
      <c r="L53" s="234">
        <f>ROUND(J53/BS!H28,0)</f>
        <v>0</v>
      </c>
      <c r="M53" s="234"/>
      <c r="N53" s="234">
        <f>ROUND(J53/BS!H11,0)</f>
        <v>0</v>
      </c>
      <c r="O53" s="234">
        <f>'working for investmenst note'!C21</f>
        <v>0</v>
      </c>
    </row>
    <row r="54" spans="2:15" s="219" customFormat="1" ht="9">
      <c r="B54" s="235" t="s">
        <v>218</v>
      </c>
      <c r="C54" s="235"/>
      <c r="D54" s="229">
        <v>15163</v>
      </c>
      <c r="E54" s="230">
        <v>0</v>
      </c>
      <c r="F54" s="230">
        <v>0</v>
      </c>
      <c r="G54" s="231" t="e">
        <f>VLOOKUP(B54,'[48]PORTFOLIO-SUMM'!$C$12:$N$25,5,0)</f>
        <v>#N/A</v>
      </c>
      <c r="H54" s="232" t="e">
        <f t="shared" si="0"/>
        <v>#N/A</v>
      </c>
      <c r="I54" s="233">
        <f>ROUND(0/1000,0)</f>
        <v>0</v>
      </c>
      <c r="J54" s="232">
        <f>ROUND(0/1000,0)</f>
        <v>0</v>
      </c>
      <c r="K54" s="232">
        <f t="shared" si="1"/>
        <v>0</v>
      </c>
      <c r="L54" s="234">
        <f>ROUND(J54/BS!H28,0)</f>
        <v>0</v>
      </c>
      <c r="M54" s="234"/>
      <c r="N54" s="234">
        <f>ROUND(J54/BS!H11,0)</f>
        <v>0</v>
      </c>
      <c r="O54" s="234">
        <f>'working for investmenst note'!C22</f>
        <v>0</v>
      </c>
    </row>
    <row r="55" spans="2:15" s="219" customFormat="1" ht="9">
      <c r="B55" s="235" t="s">
        <v>219</v>
      </c>
      <c r="C55" s="235"/>
      <c r="D55" s="229">
        <v>97704</v>
      </c>
      <c r="E55" s="230">
        <v>0</v>
      </c>
      <c r="F55" s="230">
        <v>0</v>
      </c>
      <c r="G55" s="231" t="e">
        <f>VLOOKUP(B55,'[48]PORTFOLIO-SUMM'!$C$12:$N$25,5,0)</f>
        <v>#N/A</v>
      </c>
      <c r="H55" s="232" t="e">
        <f t="shared" si="0"/>
        <v>#N/A</v>
      </c>
      <c r="I55" s="233">
        <f>ROUND(0/1000,0)</f>
        <v>0</v>
      </c>
      <c r="J55" s="232">
        <f>ROUND(0/1000,0)</f>
        <v>0</v>
      </c>
      <c r="K55" s="232">
        <f t="shared" si="1"/>
        <v>0</v>
      </c>
      <c r="L55" s="234">
        <f>ROUND(J55/BS!H28,0)</f>
        <v>0</v>
      </c>
      <c r="M55" s="234"/>
      <c r="N55" s="234">
        <f>ROUND(J55/BS!H11,0)</f>
        <v>0</v>
      </c>
      <c r="O55" s="234">
        <f>'working for investmenst note'!C23</f>
        <v>0</v>
      </c>
    </row>
    <row r="56" spans="2:15" s="219" customFormat="1" ht="9">
      <c r="B56" s="235" t="s">
        <v>220</v>
      </c>
      <c r="C56" s="235"/>
      <c r="D56" s="229">
        <v>2157677</v>
      </c>
      <c r="E56" s="230">
        <v>0</v>
      </c>
      <c r="F56" s="230">
        <v>0</v>
      </c>
      <c r="G56" s="231" t="e">
        <f>VLOOKUP(B56,'[48]PORTFOLIO-SUMM'!$C$12:$N$25,5,0)</f>
        <v>#N/A</v>
      </c>
      <c r="H56" s="232" t="e">
        <f t="shared" si="0"/>
        <v>#N/A</v>
      </c>
      <c r="I56" s="233">
        <f>ROUND(84778215.8615877/1000,0)</f>
        <v>84778</v>
      </c>
      <c r="J56" s="232">
        <f>ROUND(88123720.65/1000,0)</f>
        <v>88124</v>
      </c>
      <c r="K56" s="232">
        <f t="shared" si="1"/>
        <v>3346</v>
      </c>
      <c r="L56" s="234">
        <f>ROUND(J56/BS!H28,0)</f>
        <v>0</v>
      </c>
      <c r="M56" s="234"/>
      <c r="N56" s="234">
        <f>ROUND(J56/BS!H11,0)</f>
        <v>0</v>
      </c>
      <c r="O56" s="234">
        <f>'working for investmenst note'!C24</f>
        <v>0</v>
      </c>
    </row>
    <row r="57" spans="2:15" s="219" customFormat="1" ht="9">
      <c r="D57" s="236">
        <f t="shared" ref="D57:L57" si="2">SUM(D43:D56)</f>
        <v>23004657</v>
      </c>
      <c r="E57" s="236">
        <f t="shared" si="2"/>
        <v>0</v>
      </c>
      <c r="F57" s="236">
        <f t="shared" si="2"/>
        <v>0</v>
      </c>
      <c r="G57" s="236" t="e">
        <f t="shared" si="2"/>
        <v>#N/A</v>
      </c>
      <c r="H57" s="236" t="e">
        <f t="shared" si="2"/>
        <v>#N/A</v>
      </c>
      <c r="I57" s="236">
        <f t="shared" si="2"/>
        <v>1000369</v>
      </c>
      <c r="J57" s="236">
        <f t="shared" si="2"/>
        <v>973298</v>
      </c>
      <c r="K57" s="236">
        <f t="shared" si="2"/>
        <v>-27071</v>
      </c>
      <c r="L57" s="236">
        <f t="shared" si="2"/>
        <v>0</v>
      </c>
      <c r="M57" s="236"/>
      <c r="N57" s="236">
        <f>SUM(N43:N56)</f>
        <v>0</v>
      </c>
      <c r="O57" s="236">
        <f>SUM(O43:O56)</f>
        <v>0</v>
      </c>
    </row>
    <row r="58" spans="2:15" s="219" customFormat="1" ht="9">
      <c r="B58" s="227"/>
      <c r="C58" s="227"/>
      <c r="D58" s="229"/>
      <c r="E58" s="237"/>
      <c r="F58" s="233"/>
      <c r="G58" s="231"/>
      <c r="H58" s="238"/>
      <c r="I58" s="233"/>
      <c r="J58" s="238"/>
      <c r="K58" s="238"/>
      <c r="L58" s="239"/>
      <c r="M58" s="239"/>
      <c r="N58" s="239"/>
      <c r="O58" s="239"/>
    </row>
    <row r="59" spans="2:15" s="219" customFormat="1" ht="9">
      <c r="B59" s="240" t="s">
        <v>225</v>
      </c>
      <c r="C59" s="240"/>
      <c r="D59" s="229"/>
      <c r="E59" s="237"/>
      <c r="F59" s="233"/>
      <c r="G59" s="231"/>
      <c r="H59" s="238"/>
      <c r="I59" s="233"/>
      <c r="J59" s="238"/>
      <c r="K59" s="238"/>
      <c r="L59" s="239"/>
      <c r="M59" s="239"/>
      <c r="N59" s="239"/>
      <c r="O59" s="239"/>
    </row>
    <row r="60" spans="2:15" s="219" customFormat="1" ht="9">
      <c r="B60" s="241" t="s">
        <v>222</v>
      </c>
      <c r="C60" s="241"/>
      <c r="D60" s="229">
        <v>543590</v>
      </c>
      <c r="E60" s="231">
        <v>0</v>
      </c>
      <c r="F60" s="231">
        <v>0</v>
      </c>
      <c r="G60" s="231">
        <v>0</v>
      </c>
      <c r="H60" s="232">
        <f>D60+E60+F60-G60</f>
        <v>543590</v>
      </c>
      <c r="I60" s="233">
        <f>ROUND(82929910/1000,0)</f>
        <v>82930</v>
      </c>
      <c r="J60" s="232">
        <f>ROUND(67024647/1000,0)</f>
        <v>67025</v>
      </c>
      <c r="K60" s="232">
        <f>J60-I60</f>
        <v>-15905</v>
      </c>
      <c r="L60" s="234">
        <f>ROUND(J60/BS!H28,0)</f>
        <v>0</v>
      </c>
      <c r="M60" s="234"/>
      <c r="N60" s="234">
        <f>ROUND(J60/BS!H11,0)</f>
        <v>0</v>
      </c>
      <c r="O60" s="234">
        <f>'working for investmenst note'!C27</f>
        <v>5.9599343581243601E-2</v>
      </c>
    </row>
    <row r="61" spans="2:15" s="219" customFormat="1" ht="9">
      <c r="B61" s="242" t="s">
        <v>223</v>
      </c>
      <c r="C61" s="242"/>
      <c r="D61" s="229">
        <v>80564</v>
      </c>
      <c r="E61" s="231">
        <v>0</v>
      </c>
      <c r="F61" s="231">
        <v>0</v>
      </c>
      <c r="G61" s="231">
        <v>0</v>
      </c>
      <c r="H61" s="232">
        <f>D61+E61+F61-G61</f>
        <v>80564</v>
      </c>
      <c r="I61" s="233">
        <f>ROUND(9869784/1000,0)</f>
        <v>9870</v>
      </c>
      <c r="J61" s="232">
        <f>ROUND(7863046.4/1000,0)</f>
        <v>7863</v>
      </c>
      <c r="K61" s="232">
        <f>J61-I61</f>
        <v>-2007</v>
      </c>
      <c r="L61" s="234">
        <f>ROUND(J61/BS!H28,0)</f>
        <v>0</v>
      </c>
      <c r="M61" s="234"/>
      <c r="N61" s="234">
        <f>ROUND(J61/BS!H11,0)</f>
        <v>0</v>
      </c>
      <c r="O61" s="234">
        <f>'working for investmenst note'!C28</f>
        <v>6.8374316521739127E-3</v>
      </c>
    </row>
    <row r="62" spans="2:15" s="219" customFormat="1" ht="9">
      <c r="B62" s="242" t="s">
        <v>224</v>
      </c>
      <c r="C62" s="242"/>
      <c r="D62" s="229">
        <v>15379</v>
      </c>
      <c r="E62" s="231">
        <v>0</v>
      </c>
      <c r="F62" s="231">
        <v>0</v>
      </c>
      <c r="G62" s="231">
        <v>0</v>
      </c>
      <c r="H62" s="232">
        <f>D62+E62+F62-G62</f>
        <v>15379</v>
      </c>
      <c r="I62" s="233">
        <f>ROUND(391178/1000,0)</f>
        <v>391</v>
      </c>
      <c r="J62" s="232">
        <f>ROUND(401391.9/1000,0)</f>
        <v>401</v>
      </c>
      <c r="K62" s="232">
        <f>J62-I62</f>
        <v>10</v>
      </c>
      <c r="L62" s="234">
        <f>ROUND(J62/BS!H28,0)</f>
        <v>0</v>
      </c>
      <c r="M62" s="234"/>
      <c r="N62" s="234">
        <f>ROUND(J62/BS!H11,0)</f>
        <v>0</v>
      </c>
      <c r="O62" s="234">
        <f>'working for investmenst note'!C29</f>
        <v>1.337973E-4</v>
      </c>
    </row>
    <row r="63" spans="2:15" s="219" customFormat="1" ht="9">
      <c r="D63" s="236">
        <f t="shared" ref="D63:L63" si="3">SUM(D60:D62)</f>
        <v>639533</v>
      </c>
      <c r="E63" s="236">
        <f t="shared" si="3"/>
        <v>0</v>
      </c>
      <c r="F63" s="236">
        <f t="shared" si="3"/>
        <v>0</v>
      </c>
      <c r="G63" s="236">
        <f t="shared" si="3"/>
        <v>0</v>
      </c>
      <c r="H63" s="236">
        <f t="shared" si="3"/>
        <v>639533</v>
      </c>
      <c r="I63" s="236">
        <f t="shared" si="3"/>
        <v>93191</v>
      </c>
      <c r="J63" s="236">
        <f t="shared" si="3"/>
        <v>75289</v>
      </c>
      <c r="K63" s="236">
        <f t="shared" si="3"/>
        <v>-17902</v>
      </c>
      <c r="L63" s="236">
        <f t="shared" si="3"/>
        <v>0</v>
      </c>
      <c r="M63" s="236"/>
      <c r="N63" s="236">
        <f>SUM(N60:N62)</f>
        <v>0</v>
      </c>
      <c r="O63" s="236">
        <f>SUM(O60:O62)</f>
        <v>6.6570572533417513E-2</v>
      </c>
    </row>
    <row r="64" spans="2:15" s="219" customFormat="1" ht="9">
      <c r="B64" s="243"/>
      <c r="C64" s="243"/>
      <c r="D64" s="229"/>
      <c r="E64" s="237"/>
      <c r="F64" s="233"/>
      <c r="G64" s="231"/>
      <c r="H64" s="238"/>
      <c r="I64" s="233"/>
      <c r="J64" s="238"/>
      <c r="K64" s="238"/>
      <c r="L64" s="239"/>
      <c r="M64" s="239"/>
      <c r="N64" s="239"/>
      <c r="O64" s="239"/>
    </row>
    <row r="65" spans="1:15" s="219" customFormat="1" ht="9">
      <c r="B65" s="240" t="s">
        <v>228</v>
      </c>
      <c r="C65" s="240"/>
      <c r="D65" s="229"/>
      <c r="E65" s="237"/>
      <c r="F65" s="233"/>
      <c r="G65" s="231"/>
      <c r="H65" s="238"/>
      <c r="I65" s="233"/>
      <c r="J65" s="238"/>
      <c r="K65" s="238"/>
      <c r="L65" s="239"/>
      <c r="M65" s="239"/>
      <c r="N65" s="239"/>
      <c r="O65" s="239"/>
    </row>
    <row r="66" spans="1:15" s="219" customFormat="1" ht="9">
      <c r="B66" s="244" t="s">
        <v>226</v>
      </c>
      <c r="C66" s="244"/>
      <c r="D66" s="229">
        <v>814067</v>
      </c>
      <c r="E66" s="231">
        <v>0</v>
      </c>
      <c r="F66" s="231">
        <v>0</v>
      </c>
      <c r="G66" s="231">
        <v>0</v>
      </c>
      <c r="H66" s="232">
        <f>D66+E66+F66-G66</f>
        <v>814067</v>
      </c>
      <c r="I66" s="233">
        <f>ROUND(22339319/1000,0)</f>
        <v>22339</v>
      </c>
      <c r="J66" s="232">
        <f>ROUND(16924452.93/1000,0)</f>
        <v>16924</v>
      </c>
      <c r="K66" s="232">
        <f>J66-I66</f>
        <v>-5415</v>
      </c>
      <c r="L66" s="234">
        <f>ROUND(J66/BS!H28,0)</f>
        <v>0</v>
      </c>
      <c r="M66" s="234"/>
      <c r="N66" s="234">
        <f>ROUND(J66/BS!H11,0)</f>
        <v>0</v>
      </c>
      <c r="O66" s="234">
        <f>'working for investmenst note'!C32</f>
        <v>0</v>
      </c>
    </row>
    <row r="67" spans="1:15" s="219" customFormat="1" ht="9">
      <c r="B67" s="235" t="s">
        <v>227</v>
      </c>
      <c r="C67" s="235"/>
      <c r="D67" s="229">
        <v>2117074</v>
      </c>
      <c r="E67" s="231">
        <v>0</v>
      </c>
      <c r="F67" s="231">
        <v>0</v>
      </c>
      <c r="G67" s="231">
        <v>0</v>
      </c>
      <c r="H67" s="232">
        <f>D67+E67+F67-G67</f>
        <v>2117074</v>
      </c>
      <c r="I67" s="233">
        <f>ROUND(92446542/1000,0)</f>
        <v>92447</v>
      </c>
      <c r="J67" s="232">
        <f>ROUND(147983472.6/1000,0)</f>
        <v>147983</v>
      </c>
      <c r="K67" s="232">
        <f>J67-I67</f>
        <v>55536</v>
      </c>
      <c r="L67" s="234">
        <f>ROUND(J67/BS!H28,0)</f>
        <v>0</v>
      </c>
      <c r="M67" s="234"/>
      <c r="N67" s="234">
        <f>ROUND(J67/BS!H11,0)</f>
        <v>0</v>
      </c>
      <c r="O67" s="234">
        <f>'working for investmenst note'!C33</f>
        <v>0</v>
      </c>
    </row>
    <row r="68" spans="1:15" s="219" customFormat="1" ht="9">
      <c r="D68" s="236">
        <f t="shared" ref="D68:L68" si="4">SUM(D66:D67)</f>
        <v>2931141</v>
      </c>
      <c r="E68" s="236">
        <f t="shared" si="4"/>
        <v>0</v>
      </c>
      <c r="F68" s="236">
        <f t="shared" si="4"/>
        <v>0</v>
      </c>
      <c r="G68" s="236">
        <f t="shared" si="4"/>
        <v>0</v>
      </c>
      <c r="H68" s="236">
        <f t="shared" si="4"/>
        <v>2931141</v>
      </c>
      <c r="I68" s="236">
        <f t="shared" si="4"/>
        <v>114786</v>
      </c>
      <c r="J68" s="236">
        <f t="shared" si="4"/>
        <v>164907</v>
      </c>
      <c r="K68" s="236">
        <f t="shared" si="4"/>
        <v>50121</v>
      </c>
      <c r="L68" s="236">
        <f t="shared" si="4"/>
        <v>0</v>
      </c>
      <c r="M68" s="236"/>
      <c r="N68" s="236">
        <f>SUM(N66:N67)</f>
        <v>0</v>
      </c>
      <c r="O68" s="236">
        <f>SUM(O66:O67)</f>
        <v>0</v>
      </c>
    </row>
    <row r="69" spans="1:15" s="219" customFormat="1" ht="9">
      <c r="B69" s="227"/>
      <c r="C69" s="227"/>
      <c r="D69" s="229"/>
      <c r="E69" s="237"/>
      <c r="F69" s="233"/>
      <c r="G69" s="231"/>
      <c r="H69" s="238"/>
      <c r="I69" s="233"/>
      <c r="J69" s="238"/>
      <c r="K69" s="238"/>
      <c r="L69" s="239"/>
      <c r="M69" s="239"/>
      <c r="N69" s="239"/>
      <c r="O69" s="239"/>
    </row>
    <row r="70" spans="1:15" s="219" customFormat="1" ht="9">
      <c r="B70" s="240" t="s">
        <v>370</v>
      </c>
      <c r="C70" s="240"/>
      <c r="D70" s="229"/>
      <c r="E70" s="237"/>
      <c r="F70" s="233"/>
      <c r="G70" s="231"/>
      <c r="H70" s="238"/>
      <c r="I70" s="233"/>
      <c r="J70" s="238"/>
      <c r="K70" s="238"/>
      <c r="L70" s="239"/>
      <c r="M70" s="239"/>
      <c r="N70" s="239"/>
      <c r="O70" s="239"/>
    </row>
    <row r="71" spans="1:15" s="219" customFormat="1" ht="9">
      <c r="B71" s="244" t="s">
        <v>229</v>
      </c>
      <c r="C71" s="244"/>
      <c r="D71" s="229">
        <v>6417423</v>
      </c>
      <c r="E71" s="245">
        <v>0</v>
      </c>
      <c r="F71" s="245">
        <v>0</v>
      </c>
      <c r="G71" s="246">
        <v>0</v>
      </c>
      <c r="H71" s="232">
        <f>D71+E71+F71-G71</f>
        <v>6417423</v>
      </c>
      <c r="I71" s="233">
        <f>ROUND(261728491/1000,0)</f>
        <v>261728</v>
      </c>
      <c r="J71" s="232">
        <f>ROUND(208951292.88/1000,0)</f>
        <v>208951</v>
      </c>
      <c r="K71" s="232">
        <f>J71-I71</f>
        <v>-52777</v>
      </c>
      <c r="L71" s="234">
        <f>ROUND(J71/BS!H28,0)</f>
        <v>0</v>
      </c>
      <c r="M71" s="234"/>
      <c r="N71" s="234">
        <f>ROUND(J71/BS!H11,0)</f>
        <v>0</v>
      </c>
      <c r="O71" s="234">
        <f>'working for investmenst note'!C36</f>
        <v>0</v>
      </c>
    </row>
    <row r="72" spans="1:15" s="219" customFormat="1" ht="9">
      <c r="B72" s="235" t="s">
        <v>230</v>
      </c>
      <c r="C72" s="235"/>
      <c r="D72" s="229">
        <v>331384</v>
      </c>
      <c r="E72" s="245">
        <v>0</v>
      </c>
      <c r="F72" s="245">
        <v>0</v>
      </c>
      <c r="G72" s="246">
        <v>331384</v>
      </c>
      <c r="H72" s="232">
        <f>D72+E72+F72-G72</f>
        <v>0</v>
      </c>
      <c r="I72" s="233">
        <f>ROUND(0/1000,0)</f>
        <v>0</v>
      </c>
      <c r="J72" s="232">
        <f>ROUND(0/1000,0)</f>
        <v>0</v>
      </c>
      <c r="K72" s="232">
        <f>J72-I72</f>
        <v>0</v>
      </c>
      <c r="L72" s="234">
        <f>ROUND(J72/BS!H28,0)</f>
        <v>0</v>
      </c>
      <c r="M72" s="234"/>
      <c r="N72" s="234">
        <f>ROUND(J72/BS!H11,0)</f>
        <v>0</v>
      </c>
      <c r="O72" s="234">
        <f>'working for investmenst note'!C37</f>
        <v>0</v>
      </c>
    </row>
    <row r="73" spans="1:15" s="219" customFormat="1" ht="9">
      <c r="B73" s="235" t="s">
        <v>231</v>
      </c>
      <c r="C73" s="235"/>
      <c r="D73" s="229">
        <v>228669</v>
      </c>
      <c r="E73" s="245">
        <v>0</v>
      </c>
      <c r="F73" s="245">
        <v>0</v>
      </c>
      <c r="G73" s="246">
        <v>228669</v>
      </c>
      <c r="H73" s="232">
        <f>D73+E73+F73-G73</f>
        <v>0</v>
      </c>
      <c r="I73" s="233">
        <f>ROUND(0/1000,0)</f>
        <v>0</v>
      </c>
      <c r="J73" s="232">
        <f>ROUND(0/1000,0)</f>
        <v>0</v>
      </c>
      <c r="K73" s="232">
        <f>J73-I73</f>
        <v>0</v>
      </c>
      <c r="L73" s="234">
        <f>ROUND(J73/BS!H28,0)</f>
        <v>0</v>
      </c>
      <c r="M73" s="234"/>
      <c r="N73" s="234">
        <f>ROUND(J73/BS!H11,0)</f>
        <v>0</v>
      </c>
      <c r="O73" s="234">
        <f>'working for investmenst note'!C38</f>
        <v>0</v>
      </c>
    </row>
    <row r="74" spans="1:15" s="219" customFormat="1" ht="9">
      <c r="B74" s="235" t="s">
        <v>232</v>
      </c>
      <c r="C74" s="235"/>
      <c r="D74" s="229">
        <v>7244852</v>
      </c>
      <c r="E74" s="245">
        <v>0</v>
      </c>
      <c r="F74" s="245">
        <v>0</v>
      </c>
      <c r="G74" s="246">
        <v>0</v>
      </c>
      <c r="H74" s="232">
        <f>D74+E74+F74-G74</f>
        <v>7244852</v>
      </c>
      <c r="I74" s="233">
        <f>ROUND(491065026/1000,0)</f>
        <v>491065</v>
      </c>
      <c r="J74" s="232">
        <f>ROUND(479898996.48/1000,0)</f>
        <v>479899</v>
      </c>
      <c r="K74" s="232">
        <f>J74-I74</f>
        <v>-11166</v>
      </c>
      <c r="L74" s="234">
        <f>ROUND(J74/BS!H28,0)</f>
        <v>0</v>
      </c>
      <c r="M74" s="234"/>
      <c r="N74" s="234">
        <f>ROUND(J74/BS!H11,0)</f>
        <v>0</v>
      </c>
      <c r="O74" s="234">
        <f>'working for investmenst note'!C39</f>
        <v>0</v>
      </c>
    </row>
    <row r="75" spans="1:15" s="219" customFormat="1" ht="9">
      <c r="B75" s="235" t="s">
        <v>369</v>
      </c>
      <c r="C75" s="235"/>
      <c r="D75" s="229">
        <v>28307</v>
      </c>
      <c r="E75" s="245">
        <v>0</v>
      </c>
      <c r="F75" s="245">
        <v>0</v>
      </c>
      <c r="G75" s="246">
        <v>28307</v>
      </c>
      <c r="H75" s="232">
        <f>D75+E75+F75-G75</f>
        <v>0</v>
      </c>
      <c r="I75" s="233">
        <v>0</v>
      </c>
      <c r="J75" s="232">
        <v>0</v>
      </c>
      <c r="K75" s="232">
        <f>J75-I75</f>
        <v>0</v>
      </c>
      <c r="L75" s="234">
        <f>ROUND(J75/BS!H28,0)</f>
        <v>0</v>
      </c>
      <c r="M75" s="234"/>
      <c r="N75" s="234">
        <f>ROUND(J75/BS!H11,0)</f>
        <v>0</v>
      </c>
      <c r="O75" s="234">
        <f>'working for investmenst note'!C40</f>
        <v>0</v>
      </c>
    </row>
    <row r="76" spans="1:15" s="219" customFormat="1" ht="9">
      <c r="D76" s="236">
        <f t="shared" ref="D76:L76" si="5">SUM(D71:D75)</f>
        <v>14250635</v>
      </c>
      <c r="E76" s="236">
        <f t="shared" si="5"/>
        <v>0</v>
      </c>
      <c r="F76" s="236">
        <f t="shared" si="5"/>
        <v>0</v>
      </c>
      <c r="G76" s="236">
        <f t="shared" si="5"/>
        <v>588360</v>
      </c>
      <c r="H76" s="236">
        <f t="shared" si="5"/>
        <v>13662275</v>
      </c>
      <c r="I76" s="236">
        <f t="shared" si="5"/>
        <v>752793</v>
      </c>
      <c r="J76" s="236">
        <f t="shared" si="5"/>
        <v>688850</v>
      </c>
      <c r="K76" s="236">
        <f t="shared" si="5"/>
        <v>-63943</v>
      </c>
      <c r="L76" s="236">
        <f t="shared" si="5"/>
        <v>0</v>
      </c>
      <c r="M76" s="236"/>
      <c r="N76" s="236">
        <f>SUM(N71:N75)</f>
        <v>0</v>
      </c>
      <c r="O76" s="236">
        <f>SUM(O71:O75)</f>
        <v>0</v>
      </c>
    </row>
    <row r="77" spans="1:15" s="237" customFormat="1" ht="9">
      <c r="D77" s="278"/>
      <c r="E77" s="278"/>
      <c r="F77" s="278"/>
      <c r="G77" s="278"/>
      <c r="H77" s="278"/>
      <c r="I77" s="278"/>
      <c r="J77" s="278"/>
      <c r="K77" s="278"/>
      <c r="L77" s="278"/>
      <c r="M77" s="278"/>
      <c r="N77" s="278"/>
      <c r="O77" s="278"/>
    </row>
    <row r="78" spans="1:15">
      <c r="A78" s="260" t="e">
        <f>+A1+1</f>
        <v>#REF!</v>
      </c>
      <c r="B78" s="268"/>
      <c r="C78" s="268"/>
      <c r="D78" s="198"/>
      <c r="E78" s="269"/>
      <c r="F78" s="198"/>
      <c r="G78" s="198"/>
      <c r="H78" s="199"/>
      <c r="I78" s="198"/>
      <c r="J78" s="199"/>
      <c r="K78" s="199"/>
      <c r="L78" s="200"/>
      <c r="M78" s="200"/>
      <c r="N78" s="200"/>
      <c r="O78" s="200"/>
    </row>
    <row r="79" spans="1:15">
      <c r="B79" s="194"/>
      <c r="C79" s="194"/>
      <c r="D79" s="191"/>
      <c r="E79" s="195"/>
      <c r="F79" s="193"/>
      <c r="G79" s="192"/>
      <c r="H79" s="196"/>
      <c r="I79" s="193"/>
      <c r="J79" s="196"/>
      <c r="K79" s="196"/>
      <c r="L79" s="197"/>
      <c r="M79" s="197"/>
      <c r="N79" s="197"/>
      <c r="O79" s="197"/>
    </row>
    <row r="80" spans="1:15" s="219" customFormat="1" ht="15.75">
      <c r="B80" s="923" t="s">
        <v>299</v>
      </c>
      <c r="C80" s="924"/>
      <c r="D80" s="961" t="s">
        <v>109</v>
      </c>
      <c r="E80" s="962"/>
      <c r="F80" s="962"/>
      <c r="G80" s="962"/>
      <c r="H80" s="963"/>
      <c r="I80" s="930" t="s">
        <v>297</v>
      </c>
      <c r="J80" s="930"/>
      <c r="K80" s="931"/>
      <c r="L80" s="930" t="s">
        <v>298</v>
      </c>
      <c r="M80" s="930"/>
      <c r="N80" s="930"/>
      <c r="O80" s="930"/>
    </row>
    <row r="81" spans="2:15" s="219" customFormat="1" ht="72">
      <c r="B81" s="925"/>
      <c r="C81" s="926"/>
      <c r="D81" s="220" t="s">
        <v>300</v>
      </c>
      <c r="E81" s="220" t="s">
        <v>272</v>
      </c>
      <c r="F81" s="221" t="s">
        <v>273</v>
      </c>
      <c r="G81" s="221" t="s">
        <v>274</v>
      </c>
      <c r="H81" s="221" t="s">
        <v>301</v>
      </c>
      <c r="I81" s="221" t="s">
        <v>302</v>
      </c>
      <c r="J81" s="221" t="s">
        <v>303</v>
      </c>
      <c r="K81" s="221" t="s">
        <v>275</v>
      </c>
      <c r="L81" s="921" t="s">
        <v>304</v>
      </c>
      <c r="M81" s="922"/>
      <c r="N81" s="222" t="s">
        <v>305</v>
      </c>
      <c r="O81" s="218" t="s">
        <v>306</v>
      </c>
    </row>
    <row r="82" spans="2:15" s="219" customFormat="1" ht="9">
      <c r="B82" s="270"/>
      <c r="C82" s="271"/>
      <c r="D82" s="223"/>
      <c r="E82" s="223"/>
      <c r="F82" s="224"/>
      <c r="G82" s="224"/>
      <c r="H82" s="224"/>
      <c r="I82" s="224"/>
      <c r="J82" s="224"/>
      <c r="K82" s="224"/>
      <c r="L82" s="225"/>
      <c r="M82" s="225"/>
      <c r="N82" s="226"/>
      <c r="O82" s="225"/>
    </row>
    <row r="83" spans="2:15" s="219" customFormat="1" ht="9">
      <c r="B83" s="240" t="s">
        <v>376</v>
      </c>
      <c r="C83" s="240"/>
      <c r="D83" s="229"/>
      <c r="E83" s="237"/>
      <c r="F83" s="233"/>
      <c r="G83" s="231"/>
      <c r="H83" s="238"/>
      <c r="I83" s="233"/>
      <c r="J83" s="238"/>
      <c r="K83" s="238"/>
      <c r="L83" s="239"/>
      <c r="M83" s="239"/>
      <c r="N83" s="239"/>
      <c r="O83" s="239"/>
    </row>
    <row r="84" spans="2:15" s="219" customFormat="1" ht="9">
      <c r="B84" s="244" t="s">
        <v>372</v>
      </c>
      <c r="C84" s="244"/>
      <c r="D84" s="229">
        <v>163210</v>
      </c>
      <c r="E84" s="247">
        <v>0</v>
      </c>
      <c r="F84" s="247">
        <v>0</v>
      </c>
      <c r="G84" s="232">
        <v>0</v>
      </c>
      <c r="H84" s="232">
        <f>D84+E84+F84-G84</f>
        <v>163210</v>
      </c>
      <c r="I84" s="233">
        <f>ROUND(10497853/1000,0)</f>
        <v>10498</v>
      </c>
      <c r="J84" s="232">
        <f>ROUND(22511555.3/1000,0)</f>
        <v>22512</v>
      </c>
      <c r="K84" s="232">
        <f>J84-I84</f>
        <v>12014</v>
      </c>
      <c r="L84" s="234">
        <f>ROUND(J84/BS!$H$30,0)</f>
        <v>0</v>
      </c>
      <c r="M84" s="234"/>
      <c r="N84" s="234">
        <f>ROUND(J84/BS!H11,0)</f>
        <v>0</v>
      </c>
      <c r="O84" s="234">
        <f>'working for investmenst note'!C43</f>
        <v>0</v>
      </c>
    </row>
    <row r="85" spans="2:15" s="219" customFormat="1" ht="9">
      <c r="B85" s="235" t="s">
        <v>373</v>
      </c>
      <c r="C85" s="235"/>
      <c r="D85" s="229">
        <v>194806</v>
      </c>
      <c r="E85" s="247">
        <v>0</v>
      </c>
      <c r="F85" s="247">
        <v>0</v>
      </c>
      <c r="G85" s="232">
        <v>194806</v>
      </c>
      <c r="H85" s="232">
        <f>D85+E85+F85-G85</f>
        <v>0</v>
      </c>
      <c r="I85" s="233">
        <f>ROUND(0/1000,0)</f>
        <v>0</v>
      </c>
      <c r="J85" s="232">
        <f>ROUND(0/1000,0)</f>
        <v>0</v>
      </c>
      <c r="K85" s="232">
        <f>J85-I85</f>
        <v>0</v>
      </c>
      <c r="L85" s="234">
        <f>ROUND(J85/BS!H28,0)</f>
        <v>0</v>
      </c>
      <c r="M85" s="234"/>
      <c r="N85" s="234">
        <f>ROUND(J85/BS!H11,0)</f>
        <v>0</v>
      </c>
      <c r="O85" s="234" t="e">
        <f>'working for investmenst note'!C44</f>
        <v>#DIV/0!</v>
      </c>
    </row>
    <row r="86" spans="2:15" s="219" customFormat="1" ht="9">
      <c r="B86" s="235" t="s">
        <v>374</v>
      </c>
      <c r="C86" s="235"/>
      <c r="D86" s="229">
        <v>8584</v>
      </c>
      <c r="E86" s="247">
        <v>0</v>
      </c>
      <c r="F86" s="247">
        <v>0</v>
      </c>
      <c r="G86" s="232">
        <v>0</v>
      </c>
      <c r="H86" s="232">
        <f>D86+E86+F86-G86</f>
        <v>8584</v>
      </c>
      <c r="I86" s="233">
        <f>ROUND(877372/1000,0)</f>
        <v>877</v>
      </c>
      <c r="J86" s="232">
        <f>ROUND(1517822.88/1000,0)</f>
        <v>1518</v>
      </c>
      <c r="K86" s="232">
        <f>J86-I86</f>
        <v>641</v>
      </c>
      <c r="L86" s="234">
        <f>ROUND(J86/BS!H28,0)</f>
        <v>0</v>
      </c>
      <c r="M86" s="234"/>
      <c r="N86" s="234">
        <f>ROUND(J86/BS!H11,0)</f>
        <v>0</v>
      </c>
      <c r="O86" s="234">
        <f>'working for investmenst note'!C45</f>
        <v>0</v>
      </c>
    </row>
    <row r="87" spans="2:15" s="219" customFormat="1" ht="9">
      <c r="B87" s="235" t="s">
        <v>375</v>
      </c>
      <c r="C87" s="235"/>
      <c r="D87" s="229">
        <v>48659</v>
      </c>
      <c r="E87" s="247">
        <v>0</v>
      </c>
      <c r="F87" s="247">
        <v>0</v>
      </c>
      <c r="G87" s="232">
        <v>0</v>
      </c>
      <c r="H87" s="232">
        <f>D87+E87+F87-G87</f>
        <v>48659</v>
      </c>
      <c r="I87" s="233">
        <f>ROUND(4189496/1000,0)</f>
        <v>4189</v>
      </c>
      <c r="J87" s="232">
        <f>ROUND(5873141.3/1000,0)</f>
        <v>5873</v>
      </c>
      <c r="K87" s="232">
        <f>J87-I87</f>
        <v>1684</v>
      </c>
      <c r="L87" s="234">
        <f>ROUND(J87/BS!H28,0)</f>
        <v>0</v>
      </c>
      <c r="M87" s="234"/>
      <c r="N87" s="234">
        <f>ROUND(J87/BS!H11,0)</f>
        <v>0</v>
      </c>
      <c r="O87" s="234">
        <f>'working for investmenst note'!C46</f>
        <v>0</v>
      </c>
    </row>
    <row r="88" spans="2:15" s="219" customFormat="1" ht="9">
      <c r="D88" s="236">
        <f t="shared" ref="D88:L88" si="6">SUM(D84:D87)</f>
        <v>415259</v>
      </c>
      <c r="E88" s="236">
        <f t="shared" si="6"/>
        <v>0</v>
      </c>
      <c r="F88" s="236">
        <f t="shared" si="6"/>
        <v>0</v>
      </c>
      <c r="G88" s="236">
        <f t="shared" si="6"/>
        <v>194806</v>
      </c>
      <c r="H88" s="236">
        <f t="shared" si="6"/>
        <v>220453</v>
      </c>
      <c r="I88" s="236">
        <f t="shared" si="6"/>
        <v>15564</v>
      </c>
      <c r="J88" s="236">
        <f t="shared" si="6"/>
        <v>29903</v>
      </c>
      <c r="K88" s="236">
        <f t="shared" si="6"/>
        <v>14339</v>
      </c>
      <c r="L88" s="236">
        <f t="shared" si="6"/>
        <v>0</v>
      </c>
      <c r="M88" s="236"/>
      <c r="N88" s="236">
        <f>SUM(N84:N87)</f>
        <v>0</v>
      </c>
      <c r="O88" s="236" t="e">
        <f>SUM(O84:O87)</f>
        <v>#DIV/0!</v>
      </c>
    </row>
    <row r="89" spans="2:15" s="219" customFormat="1" ht="9">
      <c r="B89" s="227"/>
      <c r="C89" s="227"/>
      <c r="D89" s="229"/>
      <c r="E89" s="237"/>
      <c r="F89" s="233"/>
      <c r="G89" s="232"/>
      <c r="H89" s="238"/>
      <c r="I89" s="233"/>
      <c r="J89" s="238"/>
      <c r="K89" s="238"/>
      <c r="L89" s="239"/>
      <c r="M89" s="239"/>
      <c r="N89" s="239"/>
      <c r="O89" s="239"/>
    </row>
    <row r="90" spans="2:15" s="219" customFormat="1" ht="9">
      <c r="B90" s="240" t="s">
        <v>137</v>
      </c>
      <c r="C90" s="240"/>
      <c r="D90" s="229"/>
      <c r="E90" s="237"/>
      <c r="F90" s="233"/>
      <c r="G90" s="232"/>
      <c r="H90" s="238"/>
      <c r="I90" s="233"/>
      <c r="J90" s="238"/>
      <c r="K90" s="238"/>
      <c r="L90" s="239"/>
      <c r="M90" s="239"/>
      <c r="N90" s="239"/>
      <c r="O90" s="239"/>
    </row>
    <row r="91" spans="2:15" s="219" customFormat="1" ht="9">
      <c r="B91" s="244" t="s">
        <v>135</v>
      </c>
      <c r="C91" s="244"/>
      <c r="D91" s="229">
        <v>1680201</v>
      </c>
      <c r="E91" s="247">
        <v>0</v>
      </c>
      <c r="F91" s="247">
        <v>0</v>
      </c>
      <c r="G91" s="247">
        <v>0</v>
      </c>
      <c r="H91" s="232">
        <f>D91+E91+F91-G91</f>
        <v>1680201</v>
      </c>
      <c r="I91" s="233">
        <f>ROUND(32913138/1000,0)</f>
        <v>32913</v>
      </c>
      <c r="J91" s="232">
        <f>ROUND(52220647.08/1000,0)</f>
        <v>52221</v>
      </c>
      <c r="K91" s="232">
        <f>J91-I91</f>
        <v>19308</v>
      </c>
      <c r="L91" s="234">
        <f>ROUND(J91/BS!H28,0)</f>
        <v>0</v>
      </c>
      <c r="M91" s="234"/>
      <c r="N91" s="234">
        <f>ROUND(J91/BS!H11,0)</f>
        <v>0</v>
      </c>
      <c r="O91" s="234">
        <f>'working for investmenst note'!C49</f>
        <v>0</v>
      </c>
    </row>
    <row r="92" spans="2:15" s="219" customFormat="1" ht="9">
      <c r="B92" s="235" t="s">
        <v>136</v>
      </c>
      <c r="C92" s="235"/>
      <c r="D92" s="229">
        <v>13170</v>
      </c>
      <c r="E92" s="247">
        <v>0</v>
      </c>
      <c r="F92" s="247">
        <v>0</v>
      </c>
      <c r="G92" s="247">
        <v>0</v>
      </c>
      <c r="H92" s="232">
        <f>D92+E92+F92-G92</f>
        <v>13170</v>
      </c>
      <c r="I92" s="233">
        <f>ROUND(306866/1000,0)</f>
        <v>307</v>
      </c>
      <c r="J92" s="232">
        <f>ROUND(604107.9/1000,0)</f>
        <v>604</v>
      </c>
      <c r="K92" s="232">
        <f>J92-I92</f>
        <v>297</v>
      </c>
      <c r="L92" s="234">
        <f>ROUND(J92/BS!H28,0)</f>
        <v>0</v>
      </c>
      <c r="M92" s="234"/>
      <c r="N92" s="234">
        <f>ROUND(J92/BS!H11,0)</f>
        <v>0</v>
      </c>
      <c r="O92" s="234">
        <f>'working for investmenst note'!C50</f>
        <v>0</v>
      </c>
    </row>
    <row r="93" spans="2:15" s="219" customFormat="1" ht="9">
      <c r="D93" s="236">
        <f t="shared" ref="D93:L93" si="7">SUM(D91:D92)</f>
        <v>1693371</v>
      </c>
      <c r="E93" s="236">
        <f t="shared" si="7"/>
        <v>0</v>
      </c>
      <c r="F93" s="236">
        <f t="shared" si="7"/>
        <v>0</v>
      </c>
      <c r="G93" s="236">
        <f t="shared" si="7"/>
        <v>0</v>
      </c>
      <c r="H93" s="236">
        <f t="shared" si="7"/>
        <v>1693371</v>
      </c>
      <c r="I93" s="236">
        <f t="shared" si="7"/>
        <v>33220</v>
      </c>
      <c r="J93" s="236">
        <f t="shared" si="7"/>
        <v>52825</v>
      </c>
      <c r="K93" s="236">
        <f t="shared" si="7"/>
        <v>19605</v>
      </c>
      <c r="L93" s="236">
        <f t="shared" si="7"/>
        <v>0</v>
      </c>
      <c r="M93" s="236"/>
      <c r="N93" s="236">
        <f>SUM(N91:N92)</f>
        <v>0</v>
      </c>
      <c r="O93" s="236">
        <f>SUM(O91:O92)</f>
        <v>0</v>
      </c>
    </row>
    <row r="94" spans="2:15" s="219" customFormat="1" ht="9">
      <c r="B94" s="227"/>
      <c r="C94" s="227"/>
      <c r="D94" s="229"/>
      <c r="E94" s="237"/>
      <c r="F94" s="233"/>
      <c r="G94" s="231"/>
      <c r="H94" s="238"/>
      <c r="I94" s="233"/>
      <c r="J94" s="238"/>
      <c r="K94" s="238"/>
      <c r="L94" s="239"/>
      <c r="M94" s="239"/>
      <c r="N94" s="239"/>
      <c r="O94" s="239"/>
    </row>
    <row r="95" spans="2:15" s="219" customFormat="1" ht="9">
      <c r="B95" s="240" t="s">
        <v>142</v>
      </c>
      <c r="C95" s="240"/>
      <c r="D95" s="229"/>
      <c r="E95" s="237"/>
      <c r="F95" s="233"/>
      <c r="G95" s="231"/>
      <c r="H95" s="238"/>
      <c r="I95" s="233"/>
      <c r="J95" s="238"/>
      <c r="K95" s="238"/>
      <c r="L95" s="239"/>
      <c r="M95" s="239"/>
      <c r="N95" s="239"/>
      <c r="O95" s="239"/>
    </row>
    <row r="96" spans="2:15" s="219" customFormat="1" ht="9">
      <c r="B96" s="244" t="s">
        <v>138</v>
      </c>
      <c r="C96" s="244"/>
      <c r="D96" s="229">
        <v>8488</v>
      </c>
      <c r="E96" s="230">
        <v>0</v>
      </c>
      <c r="F96" s="230">
        <v>0</v>
      </c>
      <c r="G96" s="231">
        <v>8488</v>
      </c>
      <c r="H96" s="232">
        <f>D96+E96+F96-G96</f>
        <v>0</v>
      </c>
      <c r="I96" s="233">
        <f>ROUND(0/1000,0)</f>
        <v>0</v>
      </c>
      <c r="J96" s="232">
        <f>ROUND(0/1000,0)</f>
        <v>0</v>
      </c>
      <c r="K96" s="232">
        <f>J96-I96</f>
        <v>0</v>
      </c>
      <c r="L96" s="234">
        <f>ROUND(J96/BS!H28,0)</f>
        <v>0</v>
      </c>
      <c r="M96" s="234"/>
      <c r="N96" s="234">
        <f>ROUND(J96/BS!H11,0)</f>
        <v>0</v>
      </c>
      <c r="O96" s="234">
        <f>'working for investmenst note'!C53</f>
        <v>0</v>
      </c>
    </row>
    <row r="97" spans="2:15" s="219" customFormat="1" ht="9">
      <c r="B97" s="235" t="s">
        <v>139</v>
      </c>
      <c r="C97" s="235"/>
      <c r="D97" s="229">
        <v>965487</v>
      </c>
      <c r="E97" s="230">
        <v>0</v>
      </c>
      <c r="F97" s="230">
        <v>0</v>
      </c>
      <c r="G97" s="231">
        <v>315138</v>
      </c>
      <c r="H97" s="232">
        <f>D97+E97+F97-G97</f>
        <v>650349</v>
      </c>
      <c r="I97" s="233">
        <f>ROUND(171495260.481246/1000,0)</f>
        <v>171495</v>
      </c>
      <c r="J97" s="232">
        <f>ROUND(193439806.56/1000,0)</f>
        <v>193440</v>
      </c>
      <c r="K97" s="232">
        <f>J97-I97</f>
        <v>21945</v>
      </c>
      <c r="L97" s="234">
        <f>ROUND(J97/BS!H28,0)</f>
        <v>0</v>
      </c>
      <c r="M97" s="234"/>
      <c r="N97" s="234">
        <f>ROUND(J97/BS!H11,0)</f>
        <v>0</v>
      </c>
      <c r="O97" s="234">
        <f>'working for investmenst note'!C54</f>
        <v>0</v>
      </c>
    </row>
    <row r="98" spans="2:15" s="219" customFormat="1" ht="9">
      <c r="B98" s="235" t="s">
        <v>140</v>
      </c>
      <c r="C98" s="235"/>
      <c r="D98" s="229">
        <v>446018</v>
      </c>
      <c r="E98" s="230">
        <v>0</v>
      </c>
      <c r="F98" s="230">
        <v>0</v>
      </c>
      <c r="G98" s="231">
        <v>0</v>
      </c>
      <c r="H98" s="232">
        <f>D98+E98+F98-G98</f>
        <v>446018</v>
      </c>
      <c r="I98" s="233">
        <f>ROUND(16533559/1000,0)</f>
        <v>16534</v>
      </c>
      <c r="J98" s="232">
        <f>ROUND(11061246.4/1000,0)</f>
        <v>11061</v>
      </c>
      <c r="K98" s="232">
        <f>J98-I98</f>
        <v>-5473</v>
      </c>
      <c r="L98" s="234">
        <f>ROUND(J98/BS!H28,0)</f>
        <v>0</v>
      </c>
      <c r="M98" s="234"/>
      <c r="N98" s="234">
        <f>ROUND(J98/BS!H11,0)</f>
        <v>0</v>
      </c>
      <c r="O98" s="234">
        <f>'working for investmenst note'!C55</f>
        <v>0</v>
      </c>
    </row>
    <row r="99" spans="2:15" s="219" customFormat="1" ht="9">
      <c r="B99" s="235" t="s">
        <v>141</v>
      </c>
      <c r="C99" s="235"/>
      <c r="D99" s="229">
        <v>327667</v>
      </c>
      <c r="E99" s="230">
        <v>0</v>
      </c>
      <c r="F99" s="230">
        <v>0</v>
      </c>
      <c r="G99" s="231">
        <v>0</v>
      </c>
      <c r="H99" s="232">
        <f>D99+E99+F99-G99</f>
        <v>327667</v>
      </c>
      <c r="I99" s="233">
        <f>ROUND(3903423/1000,0)</f>
        <v>3903</v>
      </c>
      <c r="J99" s="232">
        <f>ROUND(4400567.81/1000,0)</f>
        <v>4401</v>
      </c>
      <c r="K99" s="232">
        <f>J99-I99</f>
        <v>498</v>
      </c>
      <c r="L99" s="234">
        <f>ROUND(J99/BS!H28,0)</f>
        <v>0</v>
      </c>
      <c r="M99" s="234"/>
      <c r="N99" s="234">
        <f>ROUND(J99/BS!H11,0)</f>
        <v>0</v>
      </c>
      <c r="O99" s="234">
        <f>'working for investmenst note'!C56</f>
        <v>0</v>
      </c>
    </row>
    <row r="100" spans="2:15" s="219" customFormat="1" ht="9">
      <c r="D100" s="236">
        <f t="shared" ref="D100:L100" si="8">SUM(D96:D99)</f>
        <v>1747660</v>
      </c>
      <c r="E100" s="236">
        <f t="shared" si="8"/>
        <v>0</v>
      </c>
      <c r="F100" s="236">
        <f t="shared" si="8"/>
        <v>0</v>
      </c>
      <c r="G100" s="236">
        <f t="shared" si="8"/>
        <v>323626</v>
      </c>
      <c r="H100" s="236">
        <f t="shared" si="8"/>
        <v>1424034</v>
      </c>
      <c r="I100" s="236">
        <f t="shared" si="8"/>
        <v>191932</v>
      </c>
      <c r="J100" s="236">
        <f t="shared" si="8"/>
        <v>208902</v>
      </c>
      <c r="K100" s="236">
        <f t="shared" si="8"/>
        <v>16970</v>
      </c>
      <c r="L100" s="236">
        <f t="shared" si="8"/>
        <v>0</v>
      </c>
      <c r="M100" s="236"/>
      <c r="N100" s="236">
        <f>SUM(N96:N99)</f>
        <v>0</v>
      </c>
      <c r="O100" s="236">
        <f>SUM(O96:O99)</f>
        <v>0</v>
      </c>
    </row>
    <row r="101" spans="2:15" s="219" customFormat="1" ht="9">
      <c r="B101" s="227"/>
      <c r="C101" s="227"/>
      <c r="D101" s="229"/>
      <c r="E101" s="237"/>
      <c r="F101" s="233"/>
      <c r="G101" s="231"/>
      <c r="H101" s="238"/>
      <c r="I101" s="233"/>
      <c r="J101" s="238"/>
      <c r="K101" s="238"/>
      <c r="L101" s="239"/>
      <c r="M101" s="239"/>
      <c r="N101" s="239"/>
      <c r="O101" s="239"/>
    </row>
    <row r="102" spans="2:15" s="219" customFormat="1" ht="9">
      <c r="B102" s="240" t="s">
        <v>146</v>
      </c>
      <c r="C102" s="240"/>
      <c r="D102" s="229"/>
      <c r="E102" s="237"/>
      <c r="F102" s="233"/>
      <c r="G102" s="231"/>
      <c r="H102" s="238"/>
      <c r="I102" s="233"/>
      <c r="J102" s="238"/>
      <c r="K102" s="238"/>
      <c r="L102" s="239"/>
      <c r="M102" s="239"/>
      <c r="N102" s="239"/>
      <c r="O102" s="239"/>
    </row>
    <row r="103" spans="2:15" s="219" customFormat="1" ht="9">
      <c r="B103" s="244" t="s">
        <v>143</v>
      </c>
      <c r="C103" s="244"/>
      <c r="D103" s="229">
        <v>8624716</v>
      </c>
      <c r="E103" s="247">
        <v>0</v>
      </c>
      <c r="F103" s="247">
        <v>0</v>
      </c>
      <c r="G103" s="231">
        <v>3787500</v>
      </c>
      <c r="H103" s="232">
        <f>D103+E103+F103-G103</f>
        <v>4837216</v>
      </c>
      <c r="I103" s="233">
        <f>ROUND(424167833.292742/1000,0)</f>
        <v>424168</v>
      </c>
      <c r="J103" s="232">
        <f>ROUND(535044461.76/1000,0)</f>
        <v>535044</v>
      </c>
      <c r="K103" s="232">
        <f>J103-I103</f>
        <v>110876</v>
      </c>
      <c r="L103" s="234">
        <f>J103/BS!H28</f>
        <v>6.5046560997593594E-2</v>
      </c>
      <c r="M103" s="234"/>
      <c r="N103" s="234">
        <f>ROUND(J103/BS!H11,0)</f>
        <v>0</v>
      </c>
      <c r="O103" s="234">
        <f>'working for investmenst note'!C59</f>
        <v>0</v>
      </c>
    </row>
    <row r="104" spans="2:15" s="219" customFormat="1" ht="9">
      <c r="B104" s="235" t="s">
        <v>144</v>
      </c>
      <c r="C104" s="235"/>
      <c r="D104" s="229">
        <v>2415759</v>
      </c>
      <c r="E104" s="247">
        <v>0</v>
      </c>
      <c r="F104" s="247">
        <v>0</v>
      </c>
      <c r="G104" s="231">
        <v>825000</v>
      </c>
      <c r="H104" s="232">
        <f>D104+E104+F104-G104</f>
        <v>1590759</v>
      </c>
      <c r="I104" s="233">
        <f>ROUND(301872887.439023/1000,0)</f>
        <v>301873</v>
      </c>
      <c r="J104" s="232">
        <f>ROUND(367099454.43/1000,0)</f>
        <v>367099</v>
      </c>
      <c r="K104" s="232">
        <f>J104-I104</f>
        <v>65226</v>
      </c>
      <c r="L104" s="234">
        <f>J104/BS!H28</f>
        <v>4.462909124418854E-2</v>
      </c>
      <c r="M104" s="234"/>
      <c r="N104" s="234">
        <f>ROUND(J104/BS!H11,0)</f>
        <v>0</v>
      </c>
      <c r="O104" s="234">
        <f>'working for investmenst note'!C60</f>
        <v>0</v>
      </c>
    </row>
    <row r="105" spans="2:15" s="219" customFormat="1" ht="9">
      <c r="B105" s="235" t="s">
        <v>145</v>
      </c>
      <c r="C105" s="235"/>
      <c r="D105" s="229">
        <v>3329189</v>
      </c>
      <c r="E105" s="247">
        <v>0</v>
      </c>
      <c r="F105" s="233">
        <v>665837</v>
      </c>
      <c r="G105" s="231">
        <v>1250000</v>
      </c>
      <c r="H105" s="232">
        <f>D105+E105+F105-G105</f>
        <v>2745026</v>
      </c>
      <c r="I105" s="233">
        <f>ROUND(417300793.251058/1000,0)</f>
        <v>417301</v>
      </c>
      <c r="J105" s="232">
        <f>ROUND(520429479.34/1000,0)</f>
        <v>520429</v>
      </c>
      <c r="K105" s="232">
        <f>J105-I105</f>
        <v>103128</v>
      </c>
      <c r="L105" s="234">
        <f>J105/BS!H28</f>
        <v>6.3269780977670317E-2</v>
      </c>
      <c r="M105" s="234"/>
      <c r="N105" s="234">
        <f>ROUND(J105/BS!H11,0)</f>
        <v>0</v>
      </c>
      <c r="O105" s="234">
        <f>'working for investmenst note'!C61</f>
        <v>0</v>
      </c>
    </row>
    <row r="106" spans="2:15" s="219" customFormat="1" ht="9">
      <c r="D106" s="236">
        <f t="shared" ref="D106:L106" si="9">SUM(D103:D105)</f>
        <v>14369664</v>
      </c>
      <c r="E106" s="236">
        <f t="shared" si="9"/>
        <v>0</v>
      </c>
      <c r="F106" s="236">
        <f t="shared" si="9"/>
        <v>665837</v>
      </c>
      <c r="G106" s="236">
        <f t="shared" si="9"/>
        <v>5862500</v>
      </c>
      <c r="H106" s="236">
        <f t="shared" si="9"/>
        <v>9173001</v>
      </c>
      <c r="I106" s="236">
        <f t="shared" si="9"/>
        <v>1143342</v>
      </c>
      <c r="J106" s="236">
        <f t="shared" si="9"/>
        <v>1422572</v>
      </c>
      <c r="K106" s="236">
        <f t="shared" si="9"/>
        <v>279230</v>
      </c>
      <c r="L106" s="236">
        <f t="shared" si="9"/>
        <v>0.17294543321945244</v>
      </c>
      <c r="M106" s="236"/>
      <c r="N106" s="236">
        <f>SUM(N103:N105)</f>
        <v>0</v>
      </c>
      <c r="O106" s="236">
        <f>SUM(O103:O105)</f>
        <v>0</v>
      </c>
    </row>
    <row r="107" spans="2:15" s="219" customFormat="1" ht="9">
      <c r="B107" s="227"/>
      <c r="C107" s="227"/>
      <c r="D107" s="229"/>
      <c r="E107" s="237"/>
      <c r="F107" s="233"/>
      <c r="G107" s="231"/>
      <c r="H107" s="238"/>
      <c r="I107" s="233"/>
      <c r="J107" s="238"/>
      <c r="K107" s="238"/>
      <c r="L107" s="239"/>
      <c r="M107" s="239"/>
      <c r="N107" s="239"/>
      <c r="O107" s="239"/>
    </row>
    <row r="108" spans="2:15" s="219" customFormat="1" ht="9">
      <c r="B108" s="240" t="s">
        <v>150</v>
      </c>
      <c r="C108" s="240"/>
      <c r="D108" s="229"/>
      <c r="E108" s="237"/>
      <c r="F108" s="233"/>
      <c r="G108" s="231"/>
      <c r="H108" s="238"/>
      <c r="I108" s="233"/>
      <c r="J108" s="238"/>
      <c r="K108" s="238"/>
      <c r="L108" s="239"/>
      <c r="M108" s="239"/>
      <c r="N108" s="239"/>
      <c r="O108" s="239"/>
    </row>
    <row r="109" spans="2:15" s="219" customFormat="1" ht="9">
      <c r="B109" s="244" t="s">
        <v>147</v>
      </c>
      <c r="C109" s="244"/>
      <c r="D109" s="229">
        <v>4860639</v>
      </c>
      <c r="E109" s="247">
        <v>0</v>
      </c>
      <c r="F109" s="247">
        <v>0</v>
      </c>
      <c r="G109" s="231">
        <v>0</v>
      </c>
      <c r="H109" s="232">
        <f>D109+E109+F109-G109</f>
        <v>4860639</v>
      </c>
      <c r="I109" s="233">
        <f>ROUND(142146597/1000,0)</f>
        <v>142147</v>
      </c>
      <c r="J109" s="232">
        <f>ROUND(85790278.35/1000,0)</f>
        <v>85790</v>
      </c>
      <c r="K109" s="232">
        <f>J109-I109</f>
        <v>-56357</v>
      </c>
      <c r="L109" s="234">
        <f>ROUND(J109/BS!H28,0)</f>
        <v>0</v>
      </c>
      <c r="M109" s="234"/>
      <c r="N109" s="234">
        <f>ROUND(J109/BS!H11,0)</f>
        <v>0</v>
      </c>
      <c r="O109" s="234">
        <f>'working for investmenst note'!C64</f>
        <v>0</v>
      </c>
    </row>
    <row r="110" spans="2:15" s="219" customFormat="1" ht="9">
      <c r="B110" s="235" t="s">
        <v>148</v>
      </c>
      <c r="C110" s="235"/>
      <c r="D110" s="229">
        <v>118863</v>
      </c>
      <c r="E110" s="247">
        <v>0</v>
      </c>
      <c r="F110" s="247">
        <v>0</v>
      </c>
      <c r="G110" s="231">
        <v>118863</v>
      </c>
      <c r="H110" s="232">
        <f>D110+E110+F110-G110</f>
        <v>0</v>
      </c>
      <c r="I110" s="233">
        <f>ROUND(0/1000,0)</f>
        <v>0</v>
      </c>
      <c r="J110" s="232">
        <f>ROUND(0/1000,0)</f>
        <v>0</v>
      </c>
      <c r="K110" s="232">
        <f>J110-I110</f>
        <v>0</v>
      </c>
      <c r="L110" s="234">
        <f>ROUND(J110/BS!H28,0)</f>
        <v>0</v>
      </c>
      <c r="M110" s="234"/>
      <c r="N110" s="234">
        <f>ROUND(J110/BS!H11,0)</f>
        <v>0</v>
      </c>
      <c r="O110" s="234">
        <f>'working for investmenst note'!C65</f>
        <v>0</v>
      </c>
    </row>
    <row r="111" spans="2:15" s="219" customFormat="1" ht="9">
      <c r="B111" s="235" t="s">
        <v>149</v>
      </c>
      <c r="C111" s="235"/>
      <c r="D111" s="229">
        <v>1737408</v>
      </c>
      <c r="E111" s="247">
        <v>0</v>
      </c>
      <c r="F111" s="247">
        <v>0</v>
      </c>
      <c r="G111" s="231">
        <v>500000</v>
      </c>
      <c r="H111" s="232">
        <f>D111+E111+F111-G111</f>
        <v>1237408</v>
      </c>
      <c r="I111" s="233">
        <f>ROUND(3486397.0115114/1000,0)</f>
        <v>3486</v>
      </c>
      <c r="J111" s="232">
        <f>ROUND(4578409.6/1000,0)</f>
        <v>4578</v>
      </c>
      <c r="K111" s="232">
        <f>J111-I111</f>
        <v>1092</v>
      </c>
      <c r="L111" s="234">
        <f>ROUND(J111/BS!H28,0)</f>
        <v>0</v>
      </c>
      <c r="M111" s="234"/>
      <c r="N111" s="234">
        <f>ROUND(J111/BS!H11,0)</f>
        <v>0</v>
      </c>
      <c r="O111" s="234">
        <f>'working for investmenst note'!C66</f>
        <v>0</v>
      </c>
    </row>
    <row r="112" spans="2:15" s="219" customFormat="1" ht="9">
      <c r="D112" s="236">
        <f t="shared" ref="D112:L112" si="10">SUM(D109:D111)</f>
        <v>6716910</v>
      </c>
      <c r="E112" s="236">
        <f t="shared" si="10"/>
        <v>0</v>
      </c>
      <c r="F112" s="236">
        <f t="shared" si="10"/>
        <v>0</v>
      </c>
      <c r="G112" s="236">
        <f t="shared" si="10"/>
        <v>618863</v>
      </c>
      <c r="H112" s="236">
        <f t="shared" si="10"/>
        <v>6098047</v>
      </c>
      <c r="I112" s="236">
        <f t="shared" si="10"/>
        <v>145633</v>
      </c>
      <c r="J112" s="236">
        <f t="shared" si="10"/>
        <v>90368</v>
      </c>
      <c r="K112" s="236">
        <f t="shared" si="10"/>
        <v>-55265</v>
      </c>
      <c r="L112" s="236">
        <f t="shared" si="10"/>
        <v>0</v>
      </c>
      <c r="M112" s="236"/>
      <c r="N112" s="236">
        <f>SUM(N109:N111)</f>
        <v>0</v>
      </c>
      <c r="O112" s="236">
        <f>SUM(O109:O111)</f>
        <v>0</v>
      </c>
    </row>
    <row r="113" spans="2:15" s="219" customFormat="1" ht="9">
      <c r="B113" s="248"/>
      <c r="C113" s="248"/>
      <c r="D113" s="229"/>
      <c r="E113" s="237"/>
      <c r="F113" s="233"/>
      <c r="G113" s="249"/>
      <c r="H113" s="250"/>
      <c r="I113" s="233"/>
      <c r="J113" s="250"/>
      <c r="K113" s="250"/>
      <c r="L113" s="251"/>
      <c r="M113" s="251"/>
      <c r="N113" s="251"/>
      <c r="O113" s="251"/>
    </row>
    <row r="114" spans="2:15" s="219" customFormat="1" ht="9">
      <c r="B114" s="240" t="s">
        <v>154</v>
      </c>
      <c r="C114" s="240"/>
      <c r="D114" s="229"/>
      <c r="E114" s="237"/>
      <c r="F114" s="233"/>
      <c r="G114" s="249"/>
      <c r="H114" s="250"/>
      <c r="I114" s="233"/>
      <c r="J114" s="250"/>
      <c r="K114" s="250"/>
      <c r="L114" s="251"/>
      <c r="M114" s="251"/>
      <c r="N114" s="251"/>
      <c r="O114" s="251"/>
    </row>
    <row r="115" spans="2:15" s="219" customFormat="1" ht="9">
      <c r="B115" s="244" t="s">
        <v>151</v>
      </c>
      <c r="C115" s="244"/>
      <c r="D115" s="229">
        <v>1404102</v>
      </c>
      <c r="E115" s="247">
        <v>0</v>
      </c>
      <c r="F115" s="247">
        <v>0</v>
      </c>
      <c r="G115" s="231">
        <v>0</v>
      </c>
      <c r="H115" s="232">
        <f>D115+E115+F115-G115</f>
        <v>1404102</v>
      </c>
      <c r="I115" s="233">
        <f>ROUND(206559255/1000,0)</f>
        <v>206559</v>
      </c>
      <c r="J115" s="232">
        <f>ROUND(257329773.54/1000,0)</f>
        <v>257330</v>
      </c>
      <c r="K115" s="232">
        <f>J115-I115</f>
        <v>50771</v>
      </c>
      <c r="L115" s="234">
        <f>ROUND(J115/BS!H28,0)</f>
        <v>0</v>
      </c>
      <c r="M115" s="234"/>
      <c r="N115" s="234">
        <f>ROUND(J115/BS!H11,0)</f>
        <v>0</v>
      </c>
      <c r="O115" s="234">
        <f>'working for investmenst note'!C69</f>
        <v>0</v>
      </c>
    </row>
    <row r="116" spans="2:15" s="219" customFormat="1" ht="9">
      <c r="B116" s="235" t="s">
        <v>152</v>
      </c>
      <c r="C116" s="235"/>
      <c r="D116" s="229">
        <v>1535657</v>
      </c>
      <c r="E116" s="247">
        <v>0</v>
      </c>
      <c r="F116" s="247">
        <v>0</v>
      </c>
      <c r="G116" s="231">
        <v>0</v>
      </c>
      <c r="H116" s="232">
        <f>D116+E116+F116-G116</f>
        <v>1535657</v>
      </c>
      <c r="I116" s="233">
        <f>ROUND(36670858/1000,0)</f>
        <v>36671</v>
      </c>
      <c r="J116" s="232">
        <f>ROUND(40126717.41/1000,0)</f>
        <v>40127</v>
      </c>
      <c r="K116" s="232">
        <f>J116-I116</f>
        <v>3456</v>
      </c>
      <c r="L116" s="234">
        <f>ROUND(J116/BS!H28,0)</f>
        <v>0</v>
      </c>
      <c r="M116" s="234"/>
      <c r="N116" s="234">
        <f>ROUND(J116/BS!H11,0)</f>
        <v>0</v>
      </c>
      <c r="O116" s="234">
        <f>'working for investmenst note'!C70</f>
        <v>0</v>
      </c>
    </row>
    <row r="117" spans="2:15" s="219" customFormat="1" ht="9">
      <c r="B117" s="235" t="s">
        <v>153</v>
      </c>
      <c r="C117" s="235"/>
      <c r="D117" s="229">
        <v>2737900</v>
      </c>
      <c r="E117" s="247">
        <v>0</v>
      </c>
      <c r="F117" s="247">
        <v>0</v>
      </c>
      <c r="G117" s="231">
        <v>0</v>
      </c>
      <c r="H117" s="232">
        <f>D117+E117+F117-G117</f>
        <v>2737900</v>
      </c>
      <c r="I117" s="233">
        <f>ROUND(223200665/1000,0)</f>
        <v>223201</v>
      </c>
      <c r="J117" s="232">
        <f>ROUND(281812047/1000,0)</f>
        <v>281812</v>
      </c>
      <c r="K117" s="232">
        <f>J117-I117</f>
        <v>58611</v>
      </c>
      <c r="L117" s="234">
        <f>ROUND(J117/BS!H28,0)</f>
        <v>0</v>
      </c>
      <c r="M117" s="234"/>
      <c r="N117" s="234">
        <f>ROUND(J117/BS!H11,0)</f>
        <v>0</v>
      </c>
      <c r="O117" s="234">
        <f>'working for investmenst note'!C71</f>
        <v>0</v>
      </c>
    </row>
    <row r="118" spans="2:15" s="219" customFormat="1" ht="9">
      <c r="B118" s="240" t="s">
        <v>154</v>
      </c>
      <c r="C118" s="240"/>
      <c r="D118" s="236">
        <f t="shared" ref="D118:L118" si="11">SUM(D115:D117)</f>
        <v>5677659</v>
      </c>
      <c r="E118" s="236">
        <f t="shared" si="11"/>
        <v>0</v>
      </c>
      <c r="F118" s="236">
        <f t="shared" si="11"/>
        <v>0</v>
      </c>
      <c r="G118" s="236">
        <f t="shared" si="11"/>
        <v>0</v>
      </c>
      <c r="H118" s="236">
        <f t="shared" si="11"/>
        <v>5677659</v>
      </c>
      <c r="I118" s="236">
        <f t="shared" si="11"/>
        <v>466431</v>
      </c>
      <c r="J118" s="236">
        <f t="shared" si="11"/>
        <v>579269</v>
      </c>
      <c r="K118" s="236">
        <f t="shared" si="11"/>
        <v>112838</v>
      </c>
      <c r="L118" s="236">
        <f t="shared" si="11"/>
        <v>0</v>
      </c>
      <c r="M118" s="236"/>
      <c r="N118" s="236">
        <f>SUM(N115:N117)</f>
        <v>0</v>
      </c>
      <c r="O118" s="236">
        <f>SUM(O115:O117)</f>
        <v>0</v>
      </c>
    </row>
    <row r="119" spans="2:15" s="219" customFormat="1" ht="9">
      <c r="B119" s="235"/>
      <c r="C119" s="235"/>
      <c r="D119" s="229"/>
      <c r="E119" s="237"/>
      <c r="F119" s="233"/>
      <c r="G119" s="231"/>
      <c r="H119" s="232"/>
      <c r="I119" s="233"/>
      <c r="J119" s="232"/>
      <c r="K119" s="232"/>
      <c r="L119" s="234"/>
      <c r="M119" s="234"/>
      <c r="N119" s="234"/>
      <c r="O119" s="234"/>
    </row>
    <row r="120" spans="2:15" s="219" customFormat="1" ht="9">
      <c r="B120" s="235"/>
      <c r="C120" s="235"/>
      <c r="D120" s="229"/>
      <c r="E120" s="237"/>
      <c r="F120" s="233"/>
      <c r="G120" s="231"/>
      <c r="H120" s="232"/>
      <c r="I120" s="233"/>
      <c r="J120" s="232"/>
      <c r="K120" s="232"/>
      <c r="L120" s="234"/>
      <c r="M120" s="234"/>
      <c r="N120" s="234"/>
      <c r="O120" s="234"/>
    </row>
    <row r="121" spans="2:15" s="219" customFormat="1" ht="9">
      <c r="B121" s="227" t="s">
        <v>155</v>
      </c>
      <c r="C121" s="227"/>
      <c r="D121" s="229"/>
      <c r="E121" s="237"/>
      <c r="F121" s="233"/>
      <c r="G121" s="231"/>
      <c r="H121" s="232"/>
      <c r="I121" s="233"/>
      <c r="J121" s="232"/>
      <c r="K121" s="232"/>
      <c r="L121" s="234"/>
      <c r="M121" s="234"/>
      <c r="N121" s="234"/>
      <c r="O121" s="234"/>
    </row>
    <row r="122" spans="2:15" s="219" customFormat="1" ht="9">
      <c r="B122" s="244" t="s">
        <v>164</v>
      </c>
      <c r="C122" s="244"/>
      <c r="D122" s="229">
        <v>253926</v>
      </c>
      <c r="E122" s="247">
        <v>0</v>
      </c>
      <c r="F122" s="247">
        <v>0</v>
      </c>
      <c r="G122" s="231">
        <v>253926</v>
      </c>
      <c r="H122" s="232">
        <f>D122+E122+F122-G122</f>
        <v>0</v>
      </c>
      <c r="I122" s="233">
        <f>ROUND(0/1000,0)</f>
        <v>0</v>
      </c>
      <c r="J122" s="232">
        <f>ROUND(0/1000,0)</f>
        <v>0</v>
      </c>
      <c r="K122" s="232">
        <f>J122-I122</f>
        <v>0</v>
      </c>
      <c r="L122" s="234">
        <f>ROUND(J122/BS!H28,0)</f>
        <v>0</v>
      </c>
      <c r="M122" s="234"/>
      <c r="N122" s="234">
        <f>ROUND(J122/BS!H11,0)</f>
        <v>0</v>
      </c>
      <c r="O122" s="234">
        <f>'working for investmenst note'!C74</f>
        <v>0</v>
      </c>
    </row>
    <row r="123" spans="2:15" s="219" customFormat="1" ht="9">
      <c r="B123" s="235" t="s">
        <v>163</v>
      </c>
      <c r="C123" s="235"/>
      <c r="D123" s="229">
        <v>321224</v>
      </c>
      <c r="E123" s="247">
        <v>0</v>
      </c>
      <c r="F123" s="247">
        <v>0</v>
      </c>
      <c r="G123" s="231">
        <v>0</v>
      </c>
      <c r="H123" s="232">
        <f>D123+E123+F123-G123</f>
        <v>321224</v>
      </c>
      <c r="I123" s="233">
        <f>ROUND(25333296/1000,0)</f>
        <v>25333</v>
      </c>
      <c r="J123" s="232">
        <f>ROUND(54123031.76/1000,0)</f>
        <v>54123</v>
      </c>
      <c r="K123" s="232">
        <f>J123-I123</f>
        <v>28790</v>
      </c>
      <c r="L123" s="234">
        <f>ROUND(J123/BS!H28,0)</f>
        <v>0</v>
      </c>
      <c r="M123" s="234"/>
      <c r="N123" s="234">
        <f>ROUND(J123/BS!H11,0)</f>
        <v>0</v>
      </c>
      <c r="O123" s="234">
        <f>'working for investmenst note'!C75</f>
        <v>0</v>
      </c>
    </row>
    <row r="124" spans="2:15" s="219" customFormat="1" ht="9">
      <c r="D124" s="236">
        <f t="shared" ref="D124:L124" si="12">SUM(D122:D123)</f>
        <v>575150</v>
      </c>
      <c r="E124" s="236">
        <f t="shared" si="12"/>
        <v>0</v>
      </c>
      <c r="F124" s="236">
        <f t="shared" si="12"/>
        <v>0</v>
      </c>
      <c r="G124" s="236">
        <f t="shared" si="12"/>
        <v>253926</v>
      </c>
      <c r="H124" s="236">
        <f t="shared" si="12"/>
        <v>321224</v>
      </c>
      <c r="I124" s="236">
        <f t="shared" si="12"/>
        <v>25333</v>
      </c>
      <c r="J124" s="236">
        <f t="shared" si="12"/>
        <v>54123</v>
      </c>
      <c r="K124" s="236">
        <f t="shared" si="12"/>
        <v>28790</v>
      </c>
      <c r="L124" s="236">
        <f t="shared" si="12"/>
        <v>0</v>
      </c>
      <c r="M124" s="236"/>
      <c r="N124" s="236">
        <f>SUM(N122:N123)</f>
        <v>0</v>
      </c>
      <c r="O124" s="236">
        <f>SUM(O122:O123)</f>
        <v>0</v>
      </c>
    </row>
    <row r="125" spans="2:15" s="219" customFormat="1" ht="9">
      <c r="B125" s="248"/>
      <c r="C125" s="248"/>
      <c r="D125" s="229"/>
      <c r="E125" s="237"/>
      <c r="F125" s="233"/>
      <c r="G125" s="249"/>
      <c r="H125" s="250"/>
      <c r="I125" s="233"/>
      <c r="J125" s="250"/>
      <c r="K125" s="250"/>
      <c r="L125" s="251"/>
      <c r="M125" s="251"/>
      <c r="N125" s="251"/>
      <c r="O125" s="251"/>
    </row>
    <row r="126" spans="2:15" s="219" customFormat="1" ht="9">
      <c r="B126" s="240" t="s">
        <v>157</v>
      </c>
      <c r="C126" s="240"/>
      <c r="D126" s="229"/>
      <c r="E126" s="237"/>
      <c r="F126" s="233"/>
      <c r="G126" s="249"/>
      <c r="H126" s="250"/>
      <c r="I126" s="233"/>
      <c r="J126" s="250"/>
      <c r="K126" s="250"/>
      <c r="L126" s="251"/>
      <c r="M126" s="251"/>
      <c r="N126" s="251"/>
      <c r="O126" s="251"/>
    </row>
    <row r="127" spans="2:15" s="219" customFormat="1" ht="9">
      <c r="B127" s="244" t="s">
        <v>156</v>
      </c>
      <c r="C127" s="244"/>
      <c r="D127" s="229">
        <v>10272</v>
      </c>
      <c r="E127" s="230">
        <v>0</v>
      </c>
      <c r="F127" s="230">
        <v>0</v>
      </c>
      <c r="G127" s="231">
        <v>10272</v>
      </c>
      <c r="H127" s="232">
        <f>D127+E127+F127-G127</f>
        <v>0</v>
      </c>
      <c r="I127" s="233">
        <f>ROUND(0/1000,0)</f>
        <v>0</v>
      </c>
      <c r="J127" s="232">
        <f>ROUND(0/1000,0)</f>
        <v>0</v>
      </c>
      <c r="K127" s="232">
        <f>J127-I127</f>
        <v>0</v>
      </c>
      <c r="L127" s="234">
        <f>J127/BS!H28</f>
        <v>0</v>
      </c>
      <c r="M127" s="234"/>
      <c r="N127" s="234">
        <f>ROUND(J127/BS!H11,0)</f>
        <v>0</v>
      </c>
      <c r="O127" s="234">
        <f>'working for investmenst note'!C78</f>
        <v>0</v>
      </c>
    </row>
    <row r="128" spans="2:15" s="219" customFormat="1" ht="9">
      <c r="D128" s="236">
        <v>10272</v>
      </c>
      <c r="E128" s="252">
        <v>0</v>
      </c>
      <c r="F128" s="236">
        <v>0</v>
      </c>
      <c r="G128" s="236">
        <v>10272</v>
      </c>
      <c r="H128" s="236">
        <v>0</v>
      </c>
      <c r="I128" s="236">
        <v>0</v>
      </c>
      <c r="J128" s="236">
        <v>0</v>
      </c>
      <c r="K128" s="236">
        <v>0</v>
      </c>
      <c r="L128" s="252">
        <v>0</v>
      </c>
      <c r="M128" s="252"/>
      <c r="N128" s="252">
        <v>0</v>
      </c>
      <c r="O128" s="252">
        <v>0</v>
      </c>
    </row>
    <row r="129" spans="1:15" s="219" customFormat="1" ht="9">
      <c r="B129" s="248"/>
      <c r="C129" s="248"/>
      <c r="D129" s="229"/>
      <c r="E129" s="237"/>
      <c r="F129" s="233"/>
      <c r="G129" s="249"/>
      <c r="H129" s="250"/>
      <c r="I129" s="233"/>
      <c r="J129" s="250"/>
      <c r="K129" s="250"/>
      <c r="L129" s="251"/>
      <c r="M129" s="251"/>
      <c r="N129" s="251">
        <v>0</v>
      </c>
      <c r="O129" s="251"/>
    </row>
    <row r="130" spans="1:15" s="219" customFormat="1" ht="9">
      <c r="B130" s="240" t="s">
        <v>159</v>
      </c>
      <c r="C130" s="240"/>
      <c r="D130" s="229"/>
      <c r="E130" s="237"/>
      <c r="F130" s="233"/>
      <c r="G130" s="249"/>
      <c r="H130" s="250"/>
      <c r="I130" s="233"/>
      <c r="J130" s="250"/>
      <c r="K130" s="250"/>
      <c r="L130" s="251"/>
      <c r="M130" s="251"/>
      <c r="N130" s="251"/>
      <c r="O130" s="251"/>
    </row>
    <row r="131" spans="1:15" s="219" customFormat="1" ht="9">
      <c r="B131" s="244" t="s">
        <v>158</v>
      </c>
      <c r="C131" s="244"/>
      <c r="D131" s="229">
        <v>12735</v>
      </c>
      <c r="E131" s="230">
        <v>0</v>
      </c>
      <c r="F131" s="233">
        <v>2547</v>
      </c>
      <c r="G131" s="231">
        <v>10468</v>
      </c>
      <c r="H131" s="232">
        <f>D131+E131+F131-G131</f>
        <v>4814</v>
      </c>
      <c r="I131" s="233">
        <f>ROUND(176459.151419971/1000,0)</f>
        <v>176</v>
      </c>
      <c r="J131" s="232">
        <f>ROUND(477115.54/1000,0)</f>
        <v>477</v>
      </c>
      <c r="K131" s="232">
        <f>J131-I131</f>
        <v>301</v>
      </c>
      <c r="L131" s="234">
        <f>ROUND(J131/BS!H28,0)</f>
        <v>0</v>
      </c>
      <c r="M131" s="234"/>
      <c r="N131" s="234">
        <f>ROUND(J131/BS!H11,0)</f>
        <v>0</v>
      </c>
      <c r="O131" s="234">
        <f>'working for investmenst note'!C81</f>
        <v>0</v>
      </c>
    </row>
    <row r="132" spans="1:15" s="219" customFormat="1" ht="9">
      <c r="D132" s="236">
        <f t="shared" ref="D132:L132" si="13">SUM(D131)</f>
        <v>12735</v>
      </c>
      <c r="E132" s="236">
        <f t="shared" si="13"/>
        <v>0</v>
      </c>
      <c r="F132" s="236">
        <f t="shared" si="13"/>
        <v>2547</v>
      </c>
      <c r="G132" s="236">
        <f t="shared" si="13"/>
        <v>10468</v>
      </c>
      <c r="H132" s="236">
        <f t="shared" si="13"/>
        <v>4814</v>
      </c>
      <c r="I132" s="236">
        <f t="shared" si="13"/>
        <v>176</v>
      </c>
      <c r="J132" s="236">
        <f t="shared" si="13"/>
        <v>477</v>
      </c>
      <c r="K132" s="236">
        <f t="shared" si="13"/>
        <v>301</v>
      </c>
      <c r="L132" s="236">
        <f t="shared" si="13"/>
        <v>0</v>
      </c>
      <c r="M132" s="236"/>
      <c r="N132" s="236">
        <f>SUM(N131)</f>
        <v>0</v>
      </c>
      <c r="O132" s="236">
        <f>SUM(O131)</f>
        <v>0</v>
      </c>
    </row>
    <row r="133" spans="1:15" s="219" customFormat="1" ht="9">
      <c r="B133" s="248"/>
      <c r="C133" s="248"/>
      <c r="D133" s="229"/>
      <c r="E133" s="237"/>
      <c r="F133" s="233"/>
      <c r="G133" s="249"/>
      <c r="H133" s="250"/>
      <c r="I133" s="233"/>
      <c r="J133" s="250"/>
      <c r="K133" s="250"/>
      <c r="L133" s="251"/>
      <c r="M133" s="251"/>
      <c r="N133" s="251">
        <v>0</v>
      </c>
      <c r="O133" s="251"/>
    </row>
    <row r="134" spans="1:15" s="219" customFormat="1" ht="9">
      <c r="B134" s="240" t="s">
        <v>162</v>
      </c>
      <c r="C134" s="240"/>
      <c r="D134" s="229"/>
      <c r="E134" s="237"/>
      <c r="F134" s="233"/>
      <c r="G134" s="249"/>
      <c r="H134" s="250"/>
      <c r="I134" s="233"/>
      <c r="J134" s="250"/>
      <c r="K134" s="250"/>
      <c r="L134" s="251"/>
      <c r="M134" s="251"/>
      <c r="N134" s="251"/>
      <c r="O134" s="251"/>
    </row>
    <row r="135" spans="1:15" s="219" customFormat="1" ht="9">
      <c r="B135" s="241" t="s">
        <v>161</v>
      </c>
      <c r="C135" s="241"/>
      <c r="D135" s="229">
        <v>24211</v>
      </c>
      <c r="E135" s="230">
        <v>0</v>
      </c>
      <c r="F135" s="230">
        <v>0</v>
      </c>
      <c r="G135" s="231">
        <v>2729</v>
      </c>
      <c r="H135" s="232">
        <f>D135+E135+F135-G135</f>
        <v>21482</v>
      </c>
      <c r="I135" s="233">
        <f>ROUND(2460633.51237041/1000,0)</f>
        <v>2461</v>
      </c>
      <c r="J135" s="232">
        <f>ROUND(3093408/1000,0)</f>
        <v>3093</v>
      </c>
      <c r="K135" s="232">
        <f>J135-I135</f>
        <v>632</v>
      </c>
      <c r="L135" s="234">
        <f>ROUND(J135/BS!H28,0)</f>
        <v>0</v>
      </c>
      <c r="M135" s="234"/>
      <c r="N135" s="234">
        <f>ROUND(J135/BS!H11,0)</f>
        <v>0</v>
      </c>
      <c r="O135" s="234">
        <f>'working for investmenst note'!C84</f>
        <v>0</v>
      </c>
    </row>
    <row r="136" spans="1:15" s="219" customFormat="1" ht="9">
      <c r="D136" s="236">
        <f t="shared" ref="D136:L136" si="14">SUM(D135)</f>
        <v>24211</v>
      </c>
      <c r="E136" s="236">
        <f t="shared" si="14"/>
        <v>0</v>
      </c>
      <c r="F136" s="236">
        <f t="shared" si="14"/>
        <v>0</v>
      </c>
      <c r="G136" s="236">
        <f t="shared" si="14"/>
        <v>2729</v>
      </c>
      <c r="H136" s="236">
        <f t="shared" si="14"/>
        <v>21482</v>
      </c>
      <c r="I136" s="236">
        <f t="shared" si="14"/>
        <v>2461</v>
      </c>
      <c r="J136" s="236">
        <f t="shared" si="14"/>
        <v>3093</v>
      </c>
      <c r="K136" s="236">
        <f t="shared" si="14"/>
        <v>632</v>
      </c>
      <c r="L136" s="236">
        <f t="shared" si="14"/>
        <v>0</v>
      </c>
      <c r="M136" s="236"/>
      <c r="N136" s="236">
        <f>SUM(N135)</f>
        <v>0</v>
      </c>
      <c r="O136" s="236">
        <f>SUM(O135)</f>
        <v>0</v>
      </c>
    </row>
    <row r="137" spans="1:15" s="219" customFormat="1" ht="9">
      <c r="B137" s="243"/>
      <c r="C137" s="243"/>
      <c r="D137" s="229"/>
      <c r="E137" s="237"/>
      <c r="F137" s="233"/>
      <c r="G137" s="231"/>
      <c r="H137" s="238"/>
      <c r="I137" s="238"/>
      <c r="J137" s="238"/>
      <c r="K137" s="238"/>
      <c r="L137" s="239"/>
      <c r="M137" s="239"/>
      <c r="N137" s="239">
        <v>0</v>
      </c>
      <c r="O137" s="239"/>
    </row>
    <row r="138" spans="1:15" s="219" customFormat="1" ht="9">
      <c r="B138" s="243"/>
      <c r="C138" s="243"/>
      <c r="D138" s="236">
        <f t="shared" ref="D138:L138" si="15">D57+D63+D68+D76+D88+D93+D100+D106+D112+D118+D124+D128+D132+D136</f>
        <v>72068857</v>
      </c>
      <c r="E138" s="236">
        <f t="shared" si="15"/>
        <v>0</v>
      </c>
      <c r="F138" s="236">
        <f t="shared" si="15"/>
        <v>668384</v>
      </c>
      <c r="G138" s="236" t="e">
        <f t="shared" si="15"/>
        <v>#N/A</v>
      </c>
      <c r="H138" s="236" t="e">
        <f t="shared" si="15"/>
        <v>#N/A</v>
      </c>
      <c r="I138" s="236">
        <f t="shared" si="15"/>
        <v>3985231</v>
      </c>
      <c r="J138" s="236">
        <f t="shared" si="15"/>
        <v>4343876</v>
      </c>
      <c r="K138" s="236">
        <f t="shared" si="15"/>
        <v>358645</v>
      </c>
      <c r="L138" s="236">
        <f t="shared" si="15"/>
        <v>0.17294543321945244</v>
      </c>
      <c r="M138" s="236"/>
      <c r="N138" s="236">
        <f>N57+N63+N68+N76+N88+N93+N100+N106+N112+N118+N124+N128+N132+N136</f>
        <v>0</v>
      </c>
      <c r="O138" s="236" t="e">
        <f>O57+O63+O68+O76+O88+O93+O100+O106+O112+O118+O124+O128+O132+O136</f>
        <v>#DIV/0!</v>
      </c>
    </row>
    <row r="139" spans="1:15">
      <c r="B139" s="195"/>
      <c r="C139" s="195"/>
      <c r="D139" s="195"/>
      <c r="E139" s="195"/>
      <c r="F139" s="193"/>
      <c r="G139" s="193"/>
      <c r="H139" s="193"/>
      <c r="I139" s="193"/>
      <c r="J139" s="193"/>
      <c r="K139" s="193"/>
      <c r="L139" s="201"/>
      <c r="M139" s="201"/>
      <c r="N139" s="201"/>
      <c r="O139" s="201"/>
    </row>
    <row r="140" spans="1:15">
      <c r="A140" s="205">
        <v>4.2</v>
      </c>
      <c r="B140" s="960" t="s">
        <v>276</v>
      </c>
      <c r="C140" s="960"/>
      <c r="D140" s="960"/>
      <c r="E140" s="960"/>
      <c r="F140" s="960"/>
      <c r="G140" s="960"/>
      <c r="H140" s="960"/>
      <c r="I140" s="960"/>
      <c r="J140" s="960"/>
      <c r="K140" s="960"/>
      <c r="L140" s="960"/>
      <c r="M140" s="960"/>
      <c r="N140" s="960"/>
      <c r="O140" s="960"/>
    </row>
    <row r="141" spans="1:15">
      <c r="A141" s="205"/>
      <c r="B141" s="960"/>
      <c r="C141" s="960"/>
      <c r="D141" s="960"/>
      <c r="E141" s="960"/>
      <c r="F141" s="960"/>
      <c r="G141" s="960"/>
      <c r="H141" s="960"/>
      <c r="I141" s="960"/>
      <c r="J141" s="960"/>
      <c r="K141" s="960"/>
      <c r="L141" s="960"/>
      <c r="M141" s="960"/>
      <c r="N141" s="960"/>
      <c r="O141" s="960"/>
    </row>
    <row r="142" spans="1:15">
      <c r="A142" s="205"/>
      <c r="E142" s="202"/>
      <c r="K142" s="203"/>
      <c r="O142" s="190"/>
    </row>
    <row r="143" spans="1:15">
      <c r="A143" s="205">
        <v>4.3</v>
      </c>
      <c r="B143" s="204" t="s">
        <v>133</v>
      </c>
      <c r="E143" s="202"/>
      <c r="K143" s="203"/>
      <c r="O143" s="190"/>
    </row>
    <row r="144" spans="1:15">
      <c r="A144" s="205"/>
      <c r="B144" s="204"/>
      <c r="E144" s="202"/>
      <c r="K144" s="203"/>
      <c r="O144" s="190"/>
    </row>
    <row r="145" spans="2:15">
      <c r="E145" s="202"/>
      <c r="K145" s="190"/>
      <c r="N145" s="272" t="s">
        <v>165</v>
      </c>
      <c r="O145" s="260"/>
    </row>
    <row r="146" spans="2:15">
      <c r="E146" s="202"/>
      <c r="K146" s="190"/>
      <c r="N146" s="273" t="s">
        <v>206</v>
      </c>
      <c r="O146" s="260"/>
    </row>
    <row r="147" spans="2:15">
      <c r="E147" s="202"/>
      <c r="K147" s="190"/>
      <c r="N147" s="256" t="s">
        <v>202</v>
      </c>
      <c r="O147" s="260"/>
    </row>
    <row r="148" spans="2:15">
      <c r="B148" s="190" t="s">
        <v>277</v>
      </c>
      <c r="E148" s="202"/>
      <c r="K148" s="190"/>
      <c r="N148" s="274"/>
      <c r="O148" s="260"/>
    </row>
    <row r="149" spans="2:15">
      <c r="B149" s="190" t="s">
        <v>278</v>
      </c>
      <c r="E149" s="202"/>
      <c r="K149" s="190"/>
      <c r="N149" s="275"/>
      <c r="O149" s="260"/>
    </row>
    <row r="150" spans="2:15">
      <c r="E150" s="202"/>
      <c r="K150" s="190"/>
      <c r="N150" s="276"/>
      <c r="O150" s="279"/>
    </row>
    <row r="151" spans="2:15">
      <c r="B151" s="190" t="s">
        <v>101</v>
      </c>
      <c r="E151" s="202"/>
      <c r="K151" s="190"/>
      <c r="N151" s="281"/>
      <c r="O151" s="282"/>
    </row>
    <row r="152" spans="2:15">
      <c r="B152" s="283" t="s">
        <v>110</v>
      </c>
      <c r="E152" s="202"/>
      <c r="K152" s="190"/>
      <c r="N152" s="275"/>
      <c r="O152" s="260"/>
    </row>
    <row r="153" spans="2:15" ht="12.75" thickBot="1">
      <c r="E153" s="202"/>
      <c r="K153" s="190"/>
      <c r="N153" s="277"/>
      <c r="O153" s="280"/>
    </row>
    <row r="154" spans="2:15" ht="12.75" thickTop="1">
      <c r="E154" s="202"/>
      <c r="K154" s="203"/>
      <c r="O154" s="190"/>
    </row>
  </sheetData>
  <mergeCells count="15">
    <mergeCell ref="B3:O8"/>
    <mergeCell ref="B10:O11"/>
    <mergeCell ref="B15:O16"/>
    <mergeCell ref="C20:O21"/>
    <mergeCell ref="B140:O141"/>
    <mergeCell ref="L81:M81"/>
    <mergeCell ref="B39:C40"/>
    <mergeCell ref="L40:M40"/>
    <mergeCell ref="D39:H39"/>
    <mergeCell ref="L39:O39"/>
    <mergeCell ref="L80:O80"/>
    <mergeCell ref="I39:K39"/>
    <mergeCell ref="B80:C81"/>
    <mergeCell ref="D80:H80"/>
    <mergeCell ref="I80:K80"/>
  </mergeCells>
  <phoneticPr fontId="11" type="noConversion"/>
  <printOptions horizontalCentered="1"/>
  <pageMargins left="0.75" right="0.5" top="0.5" bottom="0.25" header="0.3" footer="0.3"/>
  <pageSetup paperSize="9" orientation="portrait" r:id="rId1"/>
  <headerFooter alignWithMargins="0"/>
  <rowBreaks count="1" manualBreakCount="1">
    <brk id="77"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6"/>
  </sheetPr>
  <dimension ref="A1:H64"/>
  <sheetViews>
    <sheetView view="pageBreakPreview" topLeftCell="A43" zoomScaleSheetLayoutView="100" workbookViewId="0">
      <selection activeCell="C77" sqref="C77"/>
    </sheetView>
  </sheetViews>
  <sheetFormatPr defaultColWidth="10.25" defaultRowHeight="12"/>
  <cols>
    <col min="1" max="1" width="5.125" style="3" customWidth="1"/>
    <col min="2" max="2" width="3.625" style="3" customWidth="1"/>
    <col min="3" max="3" width="46.75" style="3" customWidth="1"/>
    <col min="4" max="4" width="3.375" style="3" customWidth="1"/>
    <col min="5" max="5" width="11.875" style="3" customWidth="1"/>
    <col min="6" max="6" width="0.375" style="3" customWidth="1"/>
    <col min="7" max="7" width="12.5" style="3" customWidth="1"/>
    <col min="8" max="8" width="0.375" style="43" customWidth="1"/>
    <col min="9" max="16384" width="10.25" style="3"/>
  </cols>
  <sheetData>
    <row r="1" spans="1:8">
      <c r="A1" s="1" t="s">
        <v>236</v>
      </c>
      <c r="B1" s="1"/>
      <c r="C1" s="1"/>
      <c r="D1" s="1"/>
      <c r="E1" s="27"/>
      <c r="F1" s="27"/>
      <c r="G1" s="27"/>
      <c r="H1" s="401"/>
    </row>
    <row r="2" spans="1:8">
      <c r="A2" s="28" t="s">
        <v>807</v>
      </c>
      <c r="B2" s="1"/>
      <c r="C2" s="1"/>
      <c r="D2" s="1"/>
      <c r="E2" s="27"/>
      <c r="F2" s="27"/>
      <c r="G2" s="27"/>
      <c r="H2" s="401"/>
    </row>
    <row r="3" spans="1:8">
      <c r="A3" s="659" t="s">
        <v>667</v>
      </c>
      <c r="B3" s="1"/>
      <c r="C3" s="1"/>
      <c r="D3" s="1"/>
      <c r="E3" s="27"/>
      <c r="F3" s="27"/>
      <c r="G3" s="27"/>
      <c r="H3" s="401"/>
    </row>
    <row r="4" spans="1:8">
      <c r="A4" s="23"/>
      <c r="B4" s="1"/>
      <c r="C4" s="1"/>
      <c r="D4" s="1"/>
      <c r="E4" s="27"/>
      <c r="F4" s="27"/>
      <c r="G4" s="27"/>
      <c r="H4" s="401"/>
    </row>
    <row r="5" spans="1:8">
      <c r="A5" s="23"/>
      <c r="B5" s="1"/>
      <c r="C5" s="1"/>
      <c r="D5" s="1"/>
      <c r="E5" s="855" t="s">
        <v>623</v>
      </c>
      <c r="F5" s="855"/>
      <c r="G5" s="855"/>
      <c r="H5" s="401"/>
    </row>
    <row r="6" spans="1:8" s="432" customFormat="1" ht="11.25" customHeight="1">
      <c r="A6" s="568"/>
      <c r="B6" s="568"/>
      <c r="C6" s="568"/>
      <c r="D6" s="854" t="s">
        <v>237</v>
      </c>
      <c r="E6" s="479" t="s">
        <v>624</v>
      </c>
      <c r="F6" s="404"/>
      <c r="G6" s="479" t="s">
        <v>591</v>
      </c>
      <c r="H6" s="531"/>
    </row>
    <row r="7" spans="1:8" s="432" customFormat="1" ht="11.25" customHeight="1">
      <c r="A7" s="568"/>
      <c r="B7" s="568"/>
      <c r="C7" s="568"/>
      <c r="D7" s="854"/>
      <c r="E7" s="856" t="s">
        <v>625</v>
      </c>
      <c r="F7" s="857"/>
      <c r="G7" s="857"/>
      <c r="H7" s="480"/>
    </row>
    <row r="8" spans="1:8" s="403" customFormat="1" ht="11.25">
      <c r="D8" s="478"/>
      <c r="E8" s="858" t="s">
        <v>626</v>
      </c>
      <c r="F8" s="858"/>
      <c r="G8" s="858"/>
      <c r="H8" s="719"/>
    </row>
    <row r="9" spans="1:8" s="403" customFormat="1" ht="11.25">
      <c r="A9" s="569" t="s">
        <v>258</v>
      </c>
      <c r="E9" s="570"/>
      <c r="F9" s="570"/>
      <c r="G9" s="570"/>
      <c r="H9" s="549"/>
    </row>
    <row r="10" spans="1:8" s="403" customFormat="1" ht="11.25">
      <c r="A10" s="478" t="s">
        <v>96</v>
      </c>
      <c r="E10" s="716">
        <v>91966</v>
      </c>
      <c r="F10" s="716"/>
      <c r="G10" s="771">
        <v>69172</v>
      </c>
      <c r="H10" s="771"/>
    </row>
    <row r="11" spans="1:8" s="403" customFormat="1" ht="11.25">
      <c r="A11" s="478" t="s">
        <v>627</v>
      </c>
      <c r="E11" s="716">
        <v>61331</v>
      </c>
      <c r="F11" s="716"/>
      <c r="G11" s="771">
        <v>54872</v>
      </c>
      <c r="H11" s="771"/>
    </row>
    <row r="12" spans="1:8" s="403" customFormat="1" ht="11.25">
      <c r="A12" s="478" t="s">
        <v>419</v>
      </c>
      <c r="E12" s="716">
        <v>6905</v>
      </c>
      <c r="F12" s="716"/>
      <c r="G12" s="716">
        <v>22906</v>
      </c>
      <c r="H12" s="549"/>
    </row>
    <row r="13" spans="1:8" s="403" customFormat="1" ht="11.25">
      <c r="A13" s="478" t="s">
        <v>259</v>
      </c>
      <c r="E13" s="716">
        <v>5429</v>
      </c>
      <c r="F13" s="716"/>
      <c r="G13" s="716">
        <v>3248</v>
      </c>
      <c r="H13" s="549"/>
    </row>
    <row r="14" spans="1:8" s="684" customFormat="1" ht="11.25">
      <c r="A14" s="478" t="s">
        <v>789</v>
      </c>
      <c r="E14" s="716"/>
      <c r="F14" s="716"/>
      <c r="G14" s="716"/>
      <c r="H14" s="716"/>
    </row>
    <row r="15" spans="1:8" s="684" customFormat="1" ht="11.25">
      <c r="A15" s="478" t="s">
        <v>788</v>
      </c>
      <c r="E15" s="716">
        <v>-9861</v>
      </c>
      <c r="F15" s="716"/>
      <c r="G15" s="716">
        <v>6719</v>
      </c>
      <c r="H15" s="716"/>
    </row>
    <row r="16" spans="1:8" s="403" customFormat="1" ht="11.25">
      <c r="A16" s="411" t="s">
        <v>260</v>
      </c>
      <c r="D16" s="407"/>
      <c r="E16" s="413">
        <v>155770</v>
      </c>
      <c r="F16" s="410"/>
      <c r="G16" s="413">
        <v>156917</v>
      </c>
      <c r="H16" s="410"/>
    </row>
    <row r="17" spans="1:8" s="403" customFormat="1" ht="5.25" customHeight="1">
      <c r="A17" s="411"/>
      <c r="D17" s="407"/>
      <c r="E17" s="410"/>
      <c r="F17" s="410"/>
      <c r="G17" s="410"/>
      <c r="H17" s="410"/>
    </row>
    <row r="18" spans="1:8" s="403" customFormat="1" ht="11.25">
      <c r="A18" s="569" t="s">
        <v>261</v>
      </c>
      <c r="D18" s="407"/>
      <c r="E18" s="410"/>
      <c r="F18" s="410"/>
      <c r="G18" s="410"/>
      <c r="H18" s="410"/>
    </row>
    <row r="19" spans="1:8" s="403" customFormat="1" ht="3.75" customHeight="1">
      <c r="A19" s="571"/>
      <c r="D19" s="407"/>
      <c r="E19" s="405"/>
      <c r="F19" s="410"/>
      <c r="G19" s="405"/>
      <c r="H19" s="410"/>
    </row>
    <row r="20" spans="1:8" s="403" customFormat="1" ht="11.25">
      <c r="A20" s="571" t="s">
        <v>806</v>
      </c>
      <c r="D20" s="407">
        <v>3.8000000000000003</v>
      </c>
      <c r="E20" s="406">
        <v>7137</v>
      </c>
      <c r="F20" s="410"/>
      <c r="G20" s="406">
        <v>19955</v>
      </c>
      <c r="H20" s="410"/>
    </row>
    <row r="21" spans="1:8" s="403" customFormat="1" ht="11.25">
      <c r="A21" s="572" t="s">
        <v>597</v>
      </c>
      <c r="D21" s="574"/>
      <c r="E21" s="406">
        <v>41225</v>
      </c>
      <c r="F21" s="410"/>
      <c r="G21" s="406">
        <v>47484</v>
      </c>
      <c r="H21" s="410"/>
    </row>
    <row r="22" spans="1:8" s="403" customFormat="1" ht="11.25">
      <c r="A22" s="572" t="s">
        <v>464</v>
      </c>
      <c r="D22" s="574"/>
      <c r="E22" s="406">
        <v>6695</v>
      </c>
      <c r="F22" s="410"/>
      <c r="G22" s="406">
        <v>8262</v>
      </c>
      <c r="H22" s="410"/>
    </row>
    <row r="23" spans="1:8" s="403" customFormat="1" ht="11.25">
      <c r="A23" s="572" t="s">
        <v>598</v>
      </c>
      <c r="D23" s="574"/>
      <c r="E23" s="406">
        <v>6583</v>
      </c>
      <c r="F23" s="410"/>
      <c r="G23" s="406">
        <v>7597</v>
      </c>
      <c r="H23" s="410"/>
    </row>
    <row r="24" spans="1:8" s="403" customFormat="1" ht="11.25">
      <c r="A24" s="572" t="s">
        <v>599</v>
      </c>
      <c r="D24" s="407"/>
      <c r="E24" s="406">
        <v>697</v>
      </c>
      <c r="F24" s="410"/>
      <c r="G24" s="406">
        <v>668</v>
      </c>
      <c r="H24" s="410"/>
    </row>
    <row r="25" spans="1:8" s="684" customFormat="1" ht="11.25">
      <c r="A25" s="728" t="s">
        <v>628</v>
      </c>
      <c r="D25" s="407"/>
      <c r="E25" s="406">
        <v>97</v>
      </c>
      <c r="F25" s="685"/>
      <c r="G25" s="406">
        <v>0</v>
      </c>
      <c r="H25" s="685"/>
    </row>
    <row r="26" spans="1:8" s="403" customFormat="1" ht="11.25">
      <c r="A26" s="684" t="s">
        <v>600</v>
      </c>
      <c r="D26" s="407"/>
      <c r="E26" s="406">
        <v>1952</v>
      </c>
      <c r="F26" s="410"/>
      <c r="G26" s="406">
        <v>1872</v>
      </c>
      <c r="H26" s="410"/>
    </row>
    <row r="27" spans="1:8" s="403" customFormat="1" ht="11.25">
      <c r="A27" s="684" t="s">
        <v>601</v>
      </c>
      <c r="D27" s="407"/>
      <c r="E27" s="406">
        <v>22</v>
      </c>
      <c r="F27" s="410"/>
      <c r="G27" s="406">
        <v>20</v>
      </c>
      <c r="H27" s="410"/>
    </row>
    <row r="28" spans="1:8" s="684" customFormat="1" ht="11.25">
      <c r="A28" s="684" t="s">
        <v>633</v>
      </c>
      <c r="D28" s="407"/>
      <c r="E28" s="406">
        <v>0</v>
      </c>
      <c r="F28" s="685"/>
      <c r="G28" s="406">
        <v>394</v>
      </c>
      <c r="H28" s="685"/>
    </row>
    <row r="29" spans="1:8" s="403" customFormat="1" ht="11.25">
      <c r="A29" s="403" t="s">
        <v>262</v>
      </c>
      <c r="D29" s="573"/>
      <c r="E29" s="406">
        <v>80</v>
      </c>
      <c r="F29" s="410"/>
      <c r="G29" s="406">
        <v>77</v>
      </c>
      <c r="H29" s="410"/>
    </row>
    <row r="30" spans="1:8" s="403" customFormat="1" ht="11.25">
      <c r="A30" s="403" t="s">
        <v>362</v>
      </c>
      <c r="D30" s="574"/>
      <c r="E30" s="406">
        <v>169</v>
      </c>
      <c r="F30" s="410"/>
      <c r="G30" s="406">
        <v>87</v>
      </c>
      <c r="H30" s="410"/>
    </row>
    <row r="31" spans="1:8" s="403" customFormat="1" ht="11.25" hidden="1">
      <c r="A31" s="571" t="s">
        <v>455</v>
      </c>
      <c r="D31" s="574"/>
      <c r="E31" s="406">
        <v>0</v>
      </c>
      <c r="F31" s="410"/>
      <c r="G31" s="406">
        <v>0</v>
      </c>
      <c r="H31" s="410"/>
    </row>
    <row r="32" spans="1:8" s="403" customFormat="1" ht="11.25">
      <c r="A32" s="571" t="s">
        <v>351</v>
      </c>
      <c r="D32" s="407"/>
      <c r="E32" s="406">
        <v>25</v>
      </c>
      <c r="F32" s="410"/>
      <c r="G32" s="406">
        <v>0</v>
      </c>
      <c r="H32" s="410"/>
    </row>
    <row r="33" spans="1:8" s="403" customFormat="1" ht="0.75" customHeight="1">
      <c r="A33" s="571"/>
      <c r="D33" s="407"/>
      <c r="E33" s="408">
        <v>0</v>
      </c>
      <c r="F33" s="410"/>
      <c r="G33" s="408">
        <v>0</v>
      </c>
      <c r="H33" s="410"/>
    </row>
    <row r="34" spans="1:8" s="403" customFormat="1" ht="11.25">
      <c r="A34" s="568" t="s">
        <v>263</v>
      </c>
      <c r="D34" s="407"/>
      <c r="E34" s="410">
        <v>64682</v>
      </c>
      <c r="F34" s="410"/>
      <c r="G34" s="410">
        <v>86416</v>
      </c>
      <c r="H34" s="410"/>
    </row>
    <row r="35" spans="1:8" s="403" customFormat="1" ht="11.25">
      <c r="D35" s="407"/>
      <c r="E35" s="412"/>
      <c r="F35" s="410"/>
      <c r="G35" s="410"/>
      <c r="H35" s="410"/>
    </row>
    <row r="36" spans="1:8" s="403" customFormat="1" ht="11.25">
      <c r="A36" s="411" t="s">
        <v>602</v>
      </c>
      <c r="D36" s="407"/>
      <c r="E36" s="413">
        <v>91088</v>
      </c>
      <c r="F36" s="413"/>
      <c r="G36" s="413">
        <v>70501</v>
      </c>
      <c r="H36" s="410"/>
    </row>
    <row r="37" spans="1:8" s="403" customFormat="1" ht="11.25">
      <c r="A37" s="411"/>
      <c r="D37" s="407"/>
      <c r="E37" s="410"/>
      <c r="F37" s="410"/>
      <c r="G37" s="410"/>
      <c r="H37" s="410"/>
    </row>
    <row r="38" spans="1:8" s="403" customFormat="1" ht="11.25" hidden="1">
      <c r="A38" s="415" t="s">
        <v>603</v>
      </c>
      <c r="D38" s="407"/>
      <c r="G38" s="410"/>
      <c r="H38" s="410"/>
    </row>
    <row r="39" spans="1:8" s="403" customFormat="1" ht="11.25" hidden="1">
      <c r="A39" s="416" t="s">
        <v>35</v>
      </c>
      <c r="D39" s="407"/>
      <c r="E39" s="630">
        <v>0</v>
      </c>
      <c r="F39" s="410"/>
      <c r="G39" s="410">
        <v>0</v>
      </c>
      <c r="H39" s="410"/>
    </row>
    <row r="40" spans="1:8" s="403" customFormat="1" ht="11.25" hidden="1">
      <c r="A40" s="416"/>
      <c r="D40" s="407"/>
      <c r="E40" s="410"/>
      <c r="F40" s="410"/>
      <c r="G40" s="410"/>
      <c r="H40" s="410"/>
    </row>
    <row r="41" spans="1:8" s="403" customFormat="1" ht="11.25">
      <c r="A41" s="415" t="s">
        <v>389</v>
      </c>
      <c r="D41" s="574"/>
      <c r="E41" s="410">
        <v>0</v>
      </c>
      <c r="F41" s="410"/>
      <c r="G41" s="410">
        <v>-1409</v>
      </c>
      <c r="H41" s="410"/>
    </row>
    <row r="42" spans="1:8" s="403" customFormat="1" ht="11.25">
      <c r="D42" s="407"/>
      <c r="E42" s="575"/>
      <c r="F42" s="547"/>
      <c r="G42" s="575"/>
      <c r="H42" s="547"/>
    </row>
    <row r="43" spans="1:8" s="403" customFormat="1" ht="11.25">
      <c r="A43" s="411" t="s">
        <v>604</v>
      </c>
      <c r="D43" s="407"/>
      <c r="E43" s="570">
        <v>91088</v>
      </c>
      <c r="F43" s="570"/>
      <c r="G43" s="570">
        <v>69092</v>
      </c>
      <c r="H43" s="549"/>
    </row>
    <row r="44" spans="1:8" s="403" customFormat="1" ht="11.25">
      <c r="A44" s="411"/>
      <c r="D44" s="407"/>
      <c r="E44" s="570"/>
      <c r="F44" s="570"/>
      <c r="G44" s="570"/>
      <c r="H44" s="549"/>
    </row>
    <row r="45" spans="1:8" s="403" customFormat="1" ht="11.25">
      <c r="A45" s="403" t="s">
        <v>264</v>
      </c>
      <c r="D45" s="574"/>
      <c r="E45" s="382">
        <v>0</v>
      </c>
      <c r="F45" s="382"/>
      <c r="G45" s="382">
        <v>0</v>
      </c>
      <c r="H45" s="410"/>
    </row>
    <row r="46" spans="1:8" s="403" customFormat="1" ht="11.25">
      <c r="D46" s="407"/>
      <c r="H46" s="547"/>
    </row>
    <row r="47" spans="1:8" s="403" customFormat="1" thickBot="1">
      <c r="A47" s="411" t="s">
        <v>265</v>
      </c>
      <c r="D47" s="407"/>
      <c r="E47" s="417">
        <v>91088</v>
      </c>
      <c r="F47" s="549"/>
      <c r="G47" s="417">
        <v>69092</v>
      </c>
      <c r="H47" s="549"/>
    </row>
    <row r="48" spans="1:8" s="403" customFormat="1" thickTop="1">
      <c r="A48" s="411"/>
      <c r="D48" s="407"/>
      <c r="E48" s="549"/>
      <c r="F48" s="549"/>
      <c r="G48" s="549"/>
      <c r="H48" s="549"/>
    </row>
    <row r="49" spans="1:8" s="403" customFormat="1" ht="11.25">
      <c r="A49" s="411"/>
      <c r="D49" s="407"/>
      <c r="E49" s="745" t="s">
        <v>472</v>
      </c>
      <c r="F49" s="746"/>
      <c r="G49" s="746"/>
      <c r="H49" s="746"/>
    </row>
    <row r="50" spans="1:8" s="403" customFormat="1" ht="12.75" customHeight="1">
      <c r="A50" s="415"/>
      <c r="B50" s="415"/>
      <c r="C50" s="580"/>
      <c r="D50" s="574"/>
      <c r="E50" s="579"/>
      <c r="F50" s="410"/>
      <c r="G50" s="579"/>
      <c r="H50" s="547"/>
    </row>
    <row r="51" spans="1:8" s="403" customFormat="1" thickBot="1">
      <c r="A51" s="668" t="s">
        <v>605</v>
      </c>
      <c r="B51" s="667"/>
      <c r="C51" s="667"/>
      <c r="D51" s="577">
        <v>9</v>
      </c>
      <c r="E51" s="578">
        <v>2.3248080322026738</v>
      </c>
      <c r="F51" s="579"/>
      <c r="G51" s="578">
        <v>1.68455443130562</v>
      </c>
      <c r="H51" s="579"/>
    </row>
    <row r="52" spans="1:8" s="403" customFormat="1" ht="12.75" thickTop="1">
      <c r="A52" s="501"/>
      <c r="B52" s="501"/>
      <c r="C52" s="580"/>
      <c r="D52" s="574"/>
      <c r="E52" s="579"/>
      <c r="F52" s="410"/>
      <c r="G52" s="579"/>
      <c r="H52" s="547"/>
    </row>
    <row r="53" spans="1:8" s="684" customFormat="1" ht="11.25">
      <c r="A53" s="581"/>
      <c r="B53" s="580"/>
      <c r="C53" s="580"/>
      <c r="D53" s="574"/>
      <c r="E53" s="579"/>
      <c r="F53" s="685"/>
      <c r="G53" s="579"/>
      <c r="H53" s="547"/>
    </row>
    <row r="54" spans="1:8" s="684" customFormat="1" ht="11.25">
      <c r="A54" s="581"/>
      <c r="B54" s="580"/>
      <c r="C54" s="580"/>
      <c r="D54" s="574"/>
      <c r="E54" s="579"/>
      <c r="F54" s="685"/>
      <c r="G54" s="579"/>
      <c r="H54" s="547"/>
    </row>
    <row r="55" spans="1:8">
      <c r="A55" s="5" t="s">
        <v>805</v>
      </c>
      <c r="E55" s="43"/>
      <c r="F55" s="43"/>
    </row>
    <row r="56" spans="1:8">
      <c r="E56" s="43"/>
      <c r="F56" s="43"/>
    </row>
    <row r="57" spans="1:8">
      <c r="A57" s="672" t="s">
        <v>669</v>
      </c>
      <c r="B57" s="388"/>
      <c r="C57" s="388"/>
      <c r="D57" s="388"/>
      <c r="E57" s="388"/>
      <c r="F57" s="388"/>
      <c r="G57" s="388"/>
      <c r="H57" s="476"/>
    </row>
    <row r="58" spans="1:8">
      <c r="A58" s="672" t="s">
        <v>668</v>
      </c>
      <c r="B58" s="175"/>
      <c r="C58" s="175"/>
      <c r="D58" s="175"/>
      <c r="E58" s="175"/>
      <c r="F58" s="175"/>
      <c r="G58" s="175"/>
      <c r="H58" s="477"/>
    </row>
    <row r="59" spans="1:8">
      <c r="C59" s="6"/>
      <c r="D59" s="6"/>
      <c r="E59" s="6"/>
      <c r="F59" s="6"/>
    </row>
    <row r="60" spans="1:8">
      <c r="C60" s="6"/>
      <c r="D60" s="6"/>
      <c r="E60" s="6"/>
      <c r="F60" s="6"/>
    </row>
    <row r="61" spans="1:8" s="669" customFormat="1">
      <c r="C61" s="6"/>
      <c r="D61" s="6"/>
      <c r="E61" s="6"/>
      <c r="F61" s="6"/>
      <c r="H61" s="673"/>
    </row>
    <row r="62" spans="1:8" s="669" customFormat="1">
      <c r="C62" s="6"/>
      <c r="D62" s="6"/>
      <c r="E62" s="6"/>
      <c r="F62" s="6"/>
      <c r="H62" s="673"/>
    </row>
    <row r="63" spans="1:8">
      <c r="A63" s="182" t="s">
        <v>809</v>
      </c>
      <c r="C63" s="6"/>
      <c r="D63" s="6"/>
      <c r="E63" s="6"/>
      <c r="F63" s="6"/>
    </row>
    <row r="64" spans="1:8">
      <c r="A64" s="17" t="s">
        <v>416</v>
      </c>
      <c r="B64" s="473"/>
      <c r="C64" s="474"/>
      <c r="D64" s="474"/>
      <c r="E64" s="474"/>
      <c r="F64" s="474"/>
      <c r="G64" s="473"/>
      <c r="H64" s="475"/>
    </row>
  </sheetData>
  <mergeCells count="4">
    <mergeCell ref="D6:D7"/>
    <mergeCell ref="E5:G5"/>
    <mergeCell ref="E7:G7"/>
    <mergeCell ref="E8:G8"/>
  </mergeCells>
  <phoneticPr fontId="10" type="noConversion"/>
  <printOptions horizontalCentered="1"/>
  <pageMargins left="0.75" right="0.5" top="0.5" bottom="0.25" header="0.5" footer="0.36"/>
  <pageSetup paperSize="9" orientation="portrait" r:id="rId1"/>
  <headerFooter alignWithMargins="0">
    <oddFooter>&amp;C2 of 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6"/>
  </sheetPr>
  <dimension ref="A1:H50"/>
  <sheetViews>
    <sheetView view="pageBreakPreview" topLeftCell="E28" zoomScaleSheetLayoutView="100" workbookViewId="0">
      <selection activeCell="E51" sqref="A51:XFD69"/>
    </sheetView>
  </sheetViews>
  <sheetFormatPr defaultColWidth="10.25" defaultRowHeight="12"/>
  <cols>
    <col min="1" max="1" width="5.125" style="47" customWidth="1"/>
    <col min="2" max="2" width="3.625" style="47" customWidth="1"/>
    <col min="3" max="3" width="39.375" style="47" customWidth="1"/>
    <col min="4" max="4" width="4.25" style="47" customWidth="1"/>
    <col min="5" max="5" width="13.375" style="47" customWidth="1"/>
    <col min="6" max="6" width="1.5" style="47" customWidth="1"/>
    <col min="7" max="7" width="14.375" style="51" customWidth="1"/>
    <col min="8" max="8" width="1.5" style="51" customWidth="1"/>
    <col min="9" max="16384" width="10.25" style="47"/>
  </cols>
  <sheetData>
    <row r="1" spans="1:8">
      <c r="A1" s="44" t="s">
        <v>236</v>
      </c>
      <c r="B1" s="44"/>
      <c r="C1" s="44"/>
      <c r="D1" s="44"/>
      <c r="E1" s="46"/>
      <c r="F1" s="46"/>
      <c r="G1" s="48"/>
      <c r="H1" s="48"/>
    </row>
    <row r="2" spans="1:8">
      <c r="A2" s="215" t="s">
        <v>670</v>
      </c>
      <c r="B2" s="44"/>
      <c r="C2" s="44"/>
      <c r="D2" s="44"/>
      <c r="E2" s="46"/>
      <c r="F2" s="46"/>
      <c r="G2" s="48"/>
      <c r="H2" s="48"/>
    </row>
    <row r="3" spans="1:8">
      <c r="A3" s="106" t="s">
        <v>667</v>
      </c>
      <c r="B3" s="44"/>
      <c r="C3" s="44"/>
      <c r="D3" s="44"/>
      <c r="E3" s="46"/>
      <c r="F3" s="46"/>
      <c r="G3" s="48"/>
      <c r="H3" s="48"/>
    </row>
    <row r="4" spans="1:8">
      <c r="A4" s="106"/>
      <c r="B4" s="44"/>
      <c r="C4" s="44"/>
      <c r="D4" s="44"/>
      <c r="E4" s="46"/>
      <c r="F4" s="46"/>
      <c r="G4" s="48"/>
      <c r="H4" s="48"/>
    </row>
    <row r="5" spans="1:8">
      <c r="A5" s="106"/>
      <c r="B5" s="44"/>
      <c r="C5" s="44"/>
      <c r="D5" s="44"/>
      <c r="E5" s="855" t="s">
        <v>629</v>
      </c>
      <c r="F5" s="855"/>
      <c r="G5" s="855"/>
      <c r="H5" s="48"/>
    </row>
    <row r="6" spans="1:8" s="403" customFormat="1" ht="11.25" customHeight="1">
      <c r="A6" s="582"/>
      <c r="B6" s="568"/>
      <c r="C6" s="568"/>
      <c r="D6" s="854" t="s">
        <v>237</v>
      </c>
      <c r="E6" s="479" t="s">
        <v>624</v>
      </c>
      <c r="F6" s="404"/>
      <c r="G6" s="479" t="s">
        <v>591</v>
      </c>
      <c r="H6" s="531"/>
    </row>
    <row r="7" spans="1:8" s="403" customFormat="1" ht="11.25">
      <c r="A7" s="582"/>
      <c r="B7" s="568"/>
      <c r="C7" s="568"/>
      <c r="D7" s="854"/>
      <c r="E7" s="856" t="s">
        <v>630</v>
      </c>
      <c r="F7" s="857"/>
      <c r="G7" s="857"/>
      <c r="H7" s="480"/>
    </row>
    <row r="8" spans="1:8" s="418" customFormat="1" ht="11.25">
      <c r="A8" s="583"/>
      <c r="B8" s="584"/>
      <c r="C8" s="584"/>
      <c r="D8" s="478"/>
      <c r="E8" s="858" t="s">
        <v>631</v>
      </c>
      <c r="F8" s="858"/>
      <c r="G8" s="858"/>
      <c r="H8" s="719"/>
    </row>
    <row r="9" spans="1:8" s="418" customFormat="1" ht="11.25">
      <c r="E9" s="585"/>
      <c r="F9" s="585"/>
      <c r="G9" s="585"/>
      <c r="H9" s="585"/>
    </row>
    <row r="10" spans="1:8" s="418" customFormat="1" ht="11.25">
      <c r="A10" s="418" t="s">
        <v>265</v>
      </c>
      <c r="E10" s="586">
        <v>91088</v>
      </c>
      <c r="F10" s="586"/>
      <c r="G10" s="586">
        <v>69092</v>
      </c>
      <c r="H10" s="586"/>
    </row>
    <row r="11" spans="1:8" s="418" customFormat="1" ht="11.25">
      <c r="E11" s="586"/>
      <c r="F11" s="586"/>
      <c r="G11" s="586"/>
      <c r="H11" s="586"/>
    </row>
    <row r="12" spans="1:8" s="418" customFormat="1" ht="11.25">
      <c r="A12" s="419" t="s">
        <v>606</v>
      </c>
      <c r="E12" s="587"/>
      <c r="F12" s="587"/>
      <c r="G12" s="587"/>
      <c r="H12" s="587"/>
    </row>
    <row r="13" spans="1:8" s="418" customFormat="1" ht="11.25">
      <c r="A13" s="419"/>
      <c r="E13" s="587"/>
      <c r="F13" s="587"/>
      <c r="G13" s="587"/>
      <c r="H13" s="587"/>
    </row>
    <row r="14" spans="1:8" s="418" customFormat="1" ht="11.25">
      <c r="E14" s="587"/>
      <c r="F14" s="587"/>
      <c r="G14" s="587"/>
      <c r="H14" s="587"/>
    </row>
    <row r="15" spans="1:8" s="418" customFormat="1" ht="11.25">
      <c r="A15" s="840" t="s">
        <v>790</v>
      </c>
      <c r="E15" s="587"/>
      <c r="F15" s="587"/>
      <c r="G15" s="587"/>
      <c r="H15" s="587"/>
    </row>
    <row r="16" spans="1:8" s="418" customFormat="1" ht="11.25">
      <c r="A16" s="841" t="s">
        <v>791</v>
      </c>
      <c r="D16" s="588">
        <v>3.7</v>
      </c>
      <c r="E16" s="382">
        <v>-800489</v>
      </c>
      <c r="F16" s="382"/>
      <c r="G16" s="683">
        <v>-81064</v>
      </c>
      <c r="H16" s="382"/>
    </row>
    <row r="17" spans="1:8" s="418" customFormat="1" ht="11.25">
      <c r="A17" s="840"/>
      <c r="D17" s="588"/>
      <c r="H17" s="589"/>
    </row>
    <row r="18" spans="1:8" s="418" customFormat="1" thickBot="1">
      <c r="A18" s="842" t="s">
        <v>792</v>
      </c>
      <c r="D18" s="588"/>
      <c r="E18" s="590">
        <v>-709401</v>
      </c>
      <c r="F18" s="616"/>
      <c r="G18" s="590">
        <v>-11972</v>
      </c>
      <c r="H18" s="591"/>
    </row>
    <row r="19" spans="1:8" ht="12.75" thickTop="1">
      <c r="D19" s="55"/>
    </row>
    <row r="20" spans="1:8">
      <c r="D20" s="55"/>
    </row>
    <row r="21" spans="1:8">
      <c r="A21" s="47" t="s">
        <v>805</v>
      </c>
    </row>
    <row r="23" spans="1:8" s="674" customFormat="1">
      <c r="G23" s="51"/>
      <c r="H23" s="51"/>
    </row>
    <row r="24" spans="1:8" s="674" customFormat="1">
      <c r="G24" s="51"/>
      <c r="H24" s="51"/>
    </row>
    <row r="25" spans="1:8" s="674" customFormat="1">
      <c r="G25" s="51"/>
      <c r="H25" s="51"/>
    </row>
    <row r="26" spans="1:8" s="674" customFormat="1">
      <c r="G26" s="51"/>
      <c r="H26" s="51"/>
    </row>
    <row r="27" spans="1:8" s="674" customFormat="1">
      <c r="G27" s="51"/>
      <c r="H27" s="51"/>
    </row>
    <row r="28" spans="1:8" s="674" customFormat="1">
      <c r="G28" s="51"/>
      <c r="H28" s="51"/>
    </row>
    <row r="29" spans="1:8" s="674" customFormat="1">
      <c r="G29" s="51"/>
      <c r="H29" s="51"/>
    </row>
    <row r="30" spans="1:8" s="674" customFormat="1">
      <c r="G30" s="51"/>
      <c r="H30" s="51"/>
    </row>
    <row r="31" spans="1:8" s="674" customFormat="1">
      <c r="G31" s="51"/>
      <c r="H31" s="51"/>
    </row>
    <row r="32" spans="1:8" s="674" customFormat="1">
      <c r="G32" s="51"/>
      <c r="H32" s="51"/>
    </row>
    <row r="33" spans="1:8" s="674" customFormat="1">
      <c r="G33" s="51"/>
      <c r="H33" s="51"/>
    </row>
    <row r="34" spans="1:8" s="674" customFormat="1">
      <c r="G34" s="51"/>
      <c r="H34" s="51"/>
    </row>
    <row r="35" spans="1:8" s="674" customFormat="1">
      <c r="G35" s="51"/>
      <c r="H35" s="51"/>
    </row>
    <row r="36" spans="1:8" s="674" customFormat="1">
      <c r="G36" s="51"/>
      <c r="H36" s="51"/>
    </row>
    <row r="37" spans="1:8" s="674" customFormat="1">
      <c r="G37" s="51"/>
      <c r="H37" s="51"/>
    </row>
    <row r="38" spans="1:8" s="674" customFormat="1">
      <c r="G38" s="51"/>
      <c r="H38" s="51"/>
    </row>
    <row r="39" spans="1:8" s="674" customFormat="1">
      <c r="G39" s="51"/>
      <c r="H39" s="51"/>
    </row>
    <row r="40" spans="1:8" s="674" customFormat="1">
      <c r="G40" s="51"/>
      <c r="H40" s="51"/>
    </row>
    <row r="43" spans="1:8">
      <c r="A43" s="388" t="s">
        <v>671</v>
      </c>
      <c r="B43" s="388"/>
      <c r="C43" s="388"/>
      <c r="D43" s="388"/>
      <c r="E43" s="388"/>
      <c r="F43" s="388"/>
    </row>
    <row r="44" spans="1:8">
      <c r="A44" s="175" t="s">
        <v>672</v>
      </c>
      <c r="B44" s="175"/>
      <c r="C44" s="175"/>
      <c r="D44" s="175"/>
      <c r="E44" s="175"/>
      <c r="F44" s="175"/>
    </row>
    <row r="45" spans="1:8">
      <c r="A45" s="175"/>
      <c r="B45" s="175"/>
      <c r="C45" s="175"/>
      <c r="D45" s="175"/>
      <c r="E45" s="175"/>
      <c r="F45" s="175"/>
    </row>
    <row r="46" spans="1:8">
      <c r="A46" s="30"/>
      <c r="B46" s="59"/>
      <c r="C46" s="59"/>
      <c r="D46" s="59"/>
      <c r="E46" s="59"/>
      <c r="F46" s="59"/>
      <c r="G46" s="58"/>
      <c r="H46" s="58"/>
    </row>
    <row r="47" spans="1:8">
      <c r="A47" s="30"/>
      <c r="B47" s="59"/>
      <c r="C47" s="59"/>
      <c r="D47" s="59"/>
      <c r="E47" s="59"/>
      <c r="F47" s="59"/>
      <c r="G47" s="58"/>
      <c r="H47" s="58"/>
    </row>
    <row r="48" spans="1:8">
      <c r="A48" s="30"/>
      <c r="B48" s="59"/>
      <c r="C48" s="59"/>
      <c r="D48" s="59"/>
      <c r="E48" s="59"/>
      <c r="F48" s="59"/>
      <c r="G48" s="58"/>
      <c r="H48" s="58"/>
    </row>
    <row r="49" spans="1:8">
      <c r="A49" s="182" t="s">
        <v>810</v>
      </c>
      <c r="B49" s="59"/>
      <c r="C49" s="59"/>
      <c r="D49" s="59"/>
      <c r="E49" s="59"/>
      <c r="F49" s="59"/>
      <c r="G49" s="58"/>
      <c r="H49" s="58"/>
    </row>
    <row r="50" spans="1:8">
      <c r="A50" s="762" t="s">
        <v>673</v>
      </c>
      <c r="B50" s="85"/>
      <c r="C50" s="85"/>
      <c r="D50" s="85"/>
      <c r="E50" s="85"/>
      <c r="F50" s="85"/>
      <c r="G50" s="442"/>
      <c r="H50" s="442"/>
    </row>
  </sheetData>
  <mergeCells count="4">
    <mergeCell ref="D6:D7"/>
    <mergeCell ref="E5:G5"/>
    <mergeCell ref="E7:G7"/>
    <mergeCell ref="E8:G8"/>
  </mergeCells>
  <phoneticPr fontId="10" type="noConversion"/>
  <printOptions horizontalCentered="1"/>
  <pageMargins left="0.75" right="0.5" top="0.5" bottom="0.25" header="0.5" footer="0.36"/>
  <pageSetup paperSize="9" orientation="portrait" r:id="rId1"/>
  <headerFooter alignWithMargins="0">
    <oddFooter>&amp;C3 of 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6"/>
  </sheetPr>
  <dimension ref="A1:J123"/>
  <sheetViews>
    <sheetView view="pageBreakPreview" topLeftCell="D32" zoomScaleSheetLayoutView="100" workbookViewId="0">
      <selection activeCell="D53" sqref="A53:XFD65"/>
    </sheetView>
  </sheetViews>
  <sheetFormatPr defaultColWidth="10.25" defaultRowHeight="12"/>
  <cols>
    <col min="1" max="1" width="5.125" style="47" customWidth="1"/>
    <col min="2" max="2" width="3.625" style="47" customWidth="1"/>
    <col min="3" max="3" width="41.625" style="47" customWidth="1"/>
    <col min="4" max="5" width="5.625" style="47" customWidth="1"/>
    <col min="6" max="6" width="10.375" style="47" customWidth="1"/>
    <col min="7" max="7" width="1.625" style="47" customWidth="1"/>
    <col min="8" max="8" width="10.375" style="47" customWidth="1"/>
    <col min="9" max="16384" width="10.25" style="47"/>
  </cols>
  <sheetData>
    <row r="1" spans="1:10">
      <c r="A1" s="44" t="s">
        <v>236</v>
      </c>
      <c r="B1" s="44"/>
      <c r="C1" s="44"/>
      <c r="D1" s="44"/>
      <c r="E1" s="44"/>
      <c r="F1" s="44"/>
      <c r="G1" s="44"/>
    </row>
    <row r="2" spans="1:10">
      <c r="A2" s="62" t="s">
        <v>410</v>
      </c>
      <c r="B2" s="44"/>
      <c r="C2" s="44"/>
      <c r="D2" s="44"/>
      <c r="E2" s="44"/>
      <c r="F2" s="44"/>
      <c r="G2" s="44"/>
    </row>
    <row r="3" spans="1:10">
      <c r="A3" s="106" t="s">
        <v>667</v>
      </c>
      <c r="B3" s="44"/>
      <c r="C3" s="44"/>
      <c r="D3" s="44"/>
      <c r="E3" s="44"/>
      <c r="F3" s="44"/>
      <c r="G3" s="44"/>
    </row>
    <row r="4" spans="1:10">
      <c r="A4" s="176"/>
      <c r="B4" s="44"/>
      <c r="C4" s="44"/>
      <c r="D4" s="44"/>
      <c r="E4" s="44"/>
      <c r="F4" s="44"/>
      <c r="G4" s="44"/>
    </row>
    <row r="5" spans="1:10">
      <c r="A5" s="176"/>
      <c r="B5" s="44"/>
      <c r="C5" s="44"/>
      <c r="D5" s="44"/>
      <c r="E5" s="44"/>
      <c r="F5" s="855" t="s">
        <v>629</v>
      </c>
      <c r="G5" s="855"/>
      <c r="H5" s="855"/>
    </row>
    <row r="6" spans="1:10" s="418" customFormat="1" ht="11.25" customHeight="1">
      <c r="A6" s="592"/>
      <c r="B6" s="584"/>
      <c r="C6" s="584"/>
      <c r="F6" s="479" t="s">
        <v>624</v>
      </c>
      <c r="G6" s="404"/>
      <c r="H6" s="479" t="s">
        <v>591</v>
      </c>
    </row>
    <row r="7" spans="1:10" s="418" customFormat="1" ht="11.25">
      <c r="B7" s="584"/>
      <c r="C7" s="584"/>
      <c r="F7" s="856" t="s">
        <v>630</v>
      </c>
      <c r="G7" s="857"/>
      <c r="H7" s="857"/>
    </row>
    <row r="8" spans="1:10" s="432" customFormat="1" ht="11.25">
      <c r="A8" s="418" t="s">
        <v>632</v>
      </c>
      <c r="B8" s="568"/>
      <c r="C8" s="568"/>
      <c r="F8" s="858" t="s">
        <v>631</v>
      </c>
      <c r="G8" s="858"/>
      <c r="H8" s="858"/>
      <c r="I8" s="421"/>
      <c r="J8" s="421"/>
    </row>
    <row r="9" spans="1:10" s="418" customFormat="1" ht="11.25">
      <c r="A9" s="686"/>
      <c r="F9" s="533"/>
      <c r="G9" s="534"/>
      <c r="H9" s="533"/>
    </row>
    <row r="10" spans="1:10" s="418" customFormat="1" ht="11.25">
      <c r="A10" s="686" t="s">
        <v>607</v>
      </c>
      <c r="F10" s="593">
        <v>150300</v>
      </c>
      <c r="H10" s="593">
        <v>-64993</v>
      </c>
    </row>
    <row r="11" spans="1:10" s="686" customFormat="1" ht="11.25">
      <c r="F11" s="593"/>
      <c r="H11" s="593"/>
    </row>
    <row r="12" spans="1:10" s="686" customFormat="1" ht="11.25">
      <c r="A12" s="686" t="s">
        <v>793</v>
      </c>
      <c r="F12" s="666">
        <v>-3629</v>
      </c>
      <c r="H12" s="666">
        <v>0</v>
      </c>
    </row>
    <row r="13" spans="1:10" s="686" customFormat="1" ht="11.25">
      <c r="F13" s="593">
        <v>146671</v>
      </c>
      <c r="H13" s="593">
        <v>-64993</v>
      </c>
    </row>
    <row r="14" spans="1:10" s="686" customFormat="1" ht="11.25">
      <c r="F14" s="593"/>
      <c r="H14" s="593"/>
    </row>
    <row r="15" spans="1:10" s="418" customFormat="1" hidden="1">
      <c r="A15" s="418" t="s">
        <v>495</v>
      </c>
      <c r="B15" s="471"/>
      <c r="F15" s="382"/>
      <c r="H15" s="382"/>
    </row>
    <row r="16" spans="1:10" s="418" customFormat="1" hidden="1">
      <c r="A16" s="418" t="s">
        <v>512</v>
      </c>
      <c r="B16" s="471"/>
      <c r="F16" s="382">
        <v>0</v>
      </c>
      <c r="H16" s="382">
        <v>0</v>
      </c>
    </row>
    <row r="17" spans="1:8" s="418" customFormat="1" ht="11.25">
      <c r="F17" s="382"/>
      <c r="H17" s="382"/>
    </row>
    <row r="18" spans="1:8" s="418" customFormat="1" ht="11.25">
      <c r="A18" s="418" t="s">
        <v>265</v>
      </c>
      <c r="F18" s="382">
        <v>91088</v>
      </c>
      <c r="H18" s="382">
        <v>69092</v>
      </c>
    </row>
    <row r="19" spans="1:8" s="418" customFormat="1" ht="11.25">
      <c r="F19" s="382"/>
      <c r="H19" s="382"/>
    </row>
    <row r="20" spans="1:8" s="418" customFormat="1" thickBot="1">
      <c r="A20" s="846" t="s">
        <v>28</v>
      </c>
      <c r="B20" s="420"/>
      <c r="F20" s="576">
        <v>237759</v>
      </c>
      <c r="H20" s="576">
        <v>4099</v>
      </c>
    </row>
    <row r="21" spans="1:8" s="418" customFormat="1" thickTop="1">
      <c r="A21" s="419"/>
      <c r="B21" s="419"/>
      <c r="F21" s="593"/>
      <c r="H21" s="593"/>
    </row>
    <row r="22" spans="1:8" s="418" customFormat="1" ht="11.25">
      <c r="A22" s="419" t="s">
        <v>363</v>
      </c>
      <c r="B22" s="419"/>
      <c r="F22" s="593"/>
      <c r="H22" s="593"/>
    </row>
    <row r="23" spans="1:8" s="418" customFormat="1" ht="11.25">
      <c r="A23" s="419"/>
      <c r="B23" s="419"/>
      <c r="F23" s="593"/>
      <c r="H23" s="593"/>
    </row>
    <row r="24" spans="1:8" s="418" customFormat="1" ht="11.25">
      <c r="A24" s="686" t="s">
        <v>607</v>
      </c>
      <c r="B24" s="419"/>
      <c r="F24" s="593">
        <v>247620</v>
      </c>
      <c r="H24" s="593">
        <v>4099</v>
      </c>
    </row>
    <row r="25" spans="1:8" s="418" customFormat="1" ht="11.25">
      <c r="A25" s="686"/>
      <c r="B25" s="419"/>
      <c r="F25" s="593"/>
      <c r="H25" s="593"/>
    </row>
    <row r="26" spans="1:8" s="418" customFormat="1" ht="11.25">
      <c r="A26" s="686" t="s">
        <v>793</v>
      </c>
      <c r="B26" s="419"/>
      <c r="F26" s="593">
        <v>-9861</v>
      </c>
      <c r="H26" s="593">
        <v>0</v>
      </c>
    </row>
    <row r="27" spans="1:8" s="418" customFormat="1" ht="11.25">
      <c r="B27" s="419"/>
      <c r="F27" s="593"/>
      <c r="H27" s="593"/>
    </row>
    <row r="28" spans="1:8" s="418" customFormat="1" thickBot="1">
      <c r="A28" s="419"/>
      <c r="B28" s="419"/>
      <c r="F28" s="594">
        <v>237759</v>
      </c>
      <c r="H28" s="594">
        <v>4099</v>
      </c>
    </row>
    <row r="29" spans="1:8" ht="12.75" thickTop="1">
      <c r="A29" s="54"/>
      <c r="B29" s="54"/>
      <c r="E29" s="64"/>
      <c r="F29" s="64"/>
      <c r="G29" s="64"/>
    </row>
    <row r="30" spans="1:8">
      <c r="A30" s="54"/>
      <c r="B30" s="54"/>
      <c r="E30" s="64"/>
      <c r="F30" s="64"/>
      <c r="G30" s="64"/>
    </row>
    <row r="31" spans="1:8">
      <c r="A31" s="47" t="s">
        <v>805</v>
      </c>
      <c r="E31" s="56"/>
      <c r="F31" s="56"/>
      <c r="G31" s="56"/>
    </row>
    <row r="32" spans="1:8">
      <c r="E32" s="56"/>
      <c r="F32" s="56"/>
      <c r="G32" s="56"/>
    </row>
    <row r="33" spans="1:7" s="674" customFormat="1">
      <c r="E33" s="675"/>
      <c r="F33" s="675"/>
      <c r="G33" s="675"/>
    </row>
    <row r="34" spans="1:7" s="674" customFormat="1">
      <c r="E34" s="675"/>
      <c r="F34" s="675"/>
      <c r="G34" s="675"/>
    </row>
    <row r="35" spans="1:7" s="674" customFormat="1">
      <c r="E35" s="675"/>
      <c r="F35" s="675"/>
      <c r="G35" s="675"/>
    </row>
    <row r="36" spans="1:7" s="674" customFormat="1">
      <c r="E36" s="675"/>
      <c r="F36" s="675"/>
      <c r="G36" s="675"/>
    </row>
    <row r="37" spans="1:7" s="674" customFormat="1">
      <c r="E37" s="675"/>
      <c r="F37" s="675"/>
      <c r="G37" s="675"/>
    </row>
    <row r="38" spans="1:7" s="674" customFormat="1">
      <c r="E38" s="675"/>
      <c r="F38" s="675"/>
      <c r="G38" s="675"/>
    </row>
    <row r="39" spans="1:7" s="674" customFormat="1">
      <c r="E39" s="675"/>
      <c r="F39" s="675"/>
      <c r="G39" s="675"/>
    </row>
    <row r="40" spans="1:7" s="674" customFormat="1">
      <c r="E40" s="675"/>
      <c r="F40" s="675"/>
      <c r="G40" s="675"/>
    </row>
    <row r="41" spans="1:7" s="674" customFormat="1">
      <c r="E41" s="675"/>
      <c r="F41" s="675"/>
      <c r="G41" s="675"/>
    </row>
    <row r="42" spans="1:7" s="674" customFormat="1">
      <c r="E42" s="675"/>
      <c r="F42" s="675"/>
      <c r="G42" s="675"/>
    </row>
    <row r="43" spans="1:7">
      <c r="E43" s="56"/>
      <c r="F43" s="56"/>
      <c r="G43" s="56"/>
    </row>
    <row r="44" spans="1:7">
      <c r="E44" s="56"/>
      <c r="F44" s="56"/>
      <c r="G44" s="56"/>
    </row>
    <row r="45" spans="1:7">
      <c r="A45" s="85" t="s">
        <v>485</v>
      </c>
      <c r="B45" s="85"/>
      <c r="C45" s="85"/>
      <c r="D45" s="85"/>
      <c r="E45" s="85"/>
      <c r="F45" s="85"/>
      <c r="G45" s="85"/>
    </row>
    <row r="46" spans="1:7">
      <c r="A46" s="85" t="s">
        <v>486</v>
      </c>
      <c r="B46" s="85"/>
      <c r="C46" s="85"/>
      <c r="D46" s="85"/>
      <c r="E46" s="85"/>
      <c r="F46" s="85"/>
      <c r="G46" s="85"/>
    </row>
    <row r="47" spans="1:7">
      <c r="A47" s="59"/>
      <c r="B47" s="59"/>
      <c r="C47" s="59"/>
      <c r="D47" s="59"/>
      <c r="E47" s="59"/>
      <c r="F47" s="59"/>
      <c r="G47" s="59"/>
    </row>
    <row r="48" spans="1:7">
      <c r="A48" s="59"/>
      <c r="B48" s="59"/>
      <c r="C48" s="59"/>
      <c r="D48" s="59"/>
      <c r="E48" s="59"/>
      <c r="F48" s="59"/>
      <c r="G48" s="59"/>
    </row>
    <row r="49" spans="1:7">
      <c r="A49" s="59"/>
      <c r="B49" s="59"/>
      <c r="C49" s="59"/>
      <c r="D49" s="59"/>
      <c r="E49" s="59"/>
      <c r="F49" s="59"/>
      <c r="G49" s="59"/>
    </row>
    <row r="50" spans="1:7">
      <c r="A50" s="59"/>
      <c r="B50" s="59"/>
      <c r="C50" s="59"/>
      <c r="D50" s="59"/>
      <c r="E50" s="59"/>
      <c r="F50" s="59"/>
      <c r="G50" s="59"/>
    </row>
    <row r="51" spans="1:7">
      <c r="A51" s="182" t="s">
        <v>811</v>
      </c>
      <c r="B51" s="59"/>
      <c r="C51" s="59"/>
      <c r="D51" s="59"/>
      <c r="E51" s="59"/>
      <c r="F51" s="59"/>
      <c r="G51" s="59"/>
    </row>
    <row r="52" spans="1:7">
      <c r="A52" s="59" t="s">
        <v>487</v>
      </c>
      <c r="B52" s="59"/>
      <c r="C52" s="59"/>
      <c r="D52" s="566"/>
      <c r="E52" s="61"/>
      <c r="F52" s="61"/>
      <c r="G52" s="61"/>
    </row>
    <row r="84" spans="3:8">
      <c r="C84" s="47" t="s">
        <v>31</v>
      </c>
    </row>
    <row r="86" spans="3:8">
      <c r="E86" s="47">
        <v>0</v>
      </c>
      <c r="H86" s="47" t="e">
        <v>#VALUE!</v>
      </c>
    </row>
    <row r="89" spans="3:8">
      <c r="H89" s="47" t="e">
        <v>#VALUE!</v>
      </c>
    </row>
    <row r="120" spans="5:8">
      <c r="E120" s="47">
        <v>0</v>
      </c>
      <c r="H120" s="47" t="e">
        <v>#VALUE!</v>
      </c>
    </row>
    <row r="123" spans="5:8">
      <c r="E123" s="47">
        <v>0</v>
      </c>
      <c r="H123" s="47" t="e">
        <v>#VALUE!</v>
      </c>
    </row>
  </sheetData>
  <mergeCells count="3">
    <mergeCell ref="F5:H5"/>
    <mergeCell ref="F7:H7"/>
    <mergeCell ref="F8:H8"/>
  </mergeCells>
  <phoneticPr fontId="10" type="noConversion"/>
  <printOptions horizontalCentered="1"/>
  <pageMargins left="0.75" right="0.5" top="0.5" bottom="0.25" header="0.5" footer="0.36"/>
  <pageSetup paperSize="9" orientation="portrait" r:id="rId1"/>
  <headerFooter alignWithMargins="0">
    <oddFooter>&amp;C4 of 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6"/>
  </sheetPr>
  <dimension ref="A1:J121"/>
  <sheetViews>
    <sheetView view="pageBreakPreview" topLeftCell="A20" zoomScaleSheetLayoutView="100" workbookViewId="0">
      <selection activeCell="A95" sqref="A95"/>
    </sheetView>
  </sheetViews>
  <sheetFormatPr defaultRowHeight="12"/>
  <cols>
    <col min="1" max="1" width="5.125" style="3" customWidth="1"/>
    <col min="2" max="2" width="3.625" style="3" customWidth="1"/>
    <col min="3" max="3" width="41.625" style="3" customWidth="1"/>
    <col min="4" max="5" width="5.625" style="3" customWidth="1"/>
    <col min="6" max="6" width="10.375" style="3" customWidth="1"/>
    <col min="7" max="7" width="1.625" style="3" customWidth="1"/>
    <col min="8" max="8" width="10.375" style="3" customWidth="1"/>
    <col min="9" max="16384" width="9" style="3"/>
  </cols>
  <sheetData>
    <row r="1" spans="1:9">
      <c r="A1" s="216" t="s">
        <v>236</v>
      </c>
      <c r="B1" s="216"/>
      <c r="C1" s="216"/>
      <c r="D1" s="1"/>
      <c r="E1" s="1"/>
      <c r="F1" s="1"/>
      <c r="G1" s="1"/>
      <c r="H1" s="1"/>
    </row>
    <row r="2" spans="1:9">
      <c r="A2" s="34" t="s">
        <v>390</v>
      </c>
      <c r="B2" s="1"/>
      <c r="C2" s="1"/>
      <c r="D2" s="1"/>
      <c r="E2" s="1"/>
      <c r="F2" s="1"/>
      <c r="G2" s="1"/>
      <c r="H2" s="1"/>
    </row>
    <row r="3" spans="1:9">
      <c r="A3" s="106" t="s">
        <v>667</v>
      </c>
      <c r="B3" s="1"/>
      <c r="C3" s="1"/>
      <c r="D3" s="1"/>
      <c r="E3" s="1"/>
      <c r="F3" s="1"/>
      <c r="G3" s="1"/>
      <c r="H3" s="1"/>
    </row>
    <row r="4" spans="1:9">
      <c r="A4" s="106"/>
      <c r="B4" s="1"/>
      <c r="C4" s="1"/>
      <c r="D4" s="1"/>
      <c r="E4" s="1"/>
      <c r="F4" s="1"/>
      <c r="G4" s="1"/>
      <c r="H4" s="1"/>
    </row>
    <row r="5" spans="1:9">
      <c r="A5" s="106"/>
      <c r="B5" s="1"/>
      <c r="C5" s="1"/>
      <c r="D5" s="1"/>
      <c r="E5" s="1"/>
      <c r="F5" s="855" t="s">
        <v>629</v>
      </c>
      <c r="G5" s="855"/>
      <c r="H5" s="855"/>
    </row>
    <row r="6" spans="1:9" s="403" customFormat="1" ht="11.25" customHeight="1">
      <c r="A6" s="583"/>
      <c r="B6" s="568"/>
      <c r="C6" s="568"/>
      <c r="E6" s="632" t="s">
        <v>237</v>
      </c>
      <c r="F6" s="479" t="s">
        <v>624</v>
      </c>
      <c r="G6" s="404"/>
      <c r="H6" s="479" t="s">
        <v>591</v>
      </c>
    </row>
    <row r="7" spans="1:9" s="403" customFormat="1" ht="11.25">
      <c r="A7" s="583"/>
      <c r="B7" s="568"/>
      <c r="C7" s="568"/>
      <c r="F7" s="856" t="s">
        <v>630</v>
      </c>
      <c r="G7" s="857"/>
      <c r="H7" s="857"/>
    </row>
    <row r="8" spans="1:9" s="403" customFormat="1" ht="11.25">
      <c r="F8" s="858" t="s">
        <v>631</v>
      </c>
      <c r="G8" s="858"/>
      <c r="H8" s="858"/>
      <c r="I8" s="547"/>
    </row>
    <row r="9" spans="1:9" s="403" customFormat="1" ht="11.25">
      <c r="F9" s="655"/>
      <c r="G9" s="655"/>
      <c r="H9" s="655"/>
      <c r="I9" s="547"/>
    </row>
    <row r="10" spans="1:9" s="403" customFormat="1" ht="11.25">
      <c r="A10" s="411" t="s">
        <v>203</v>
      </c>
      <c r="F10" s="422">
        <v>8225554</v>
      </c>
      <c r="H10" s="422">
        <v>7884948</v>
      </c>
      <c r="I10" s="422"/>
    </row>
    <row r="11" spans="1:9" s="403" customFormat="1" ht="11.25">
      <c r="A11" s="843" t="s">
        <v>797</v>
      </c>
      <c r="F11" s="422"/>
      <c r="H11" s="422"/>
      <c r="I11" s="422"/>
    </row>
    <row r="12" spans="1:9" s="403" customFormat="1" ht="11.25" hidden="1">
      <c r="A12" s="403" t="s">
        <v>635</v>
      </c>
      <c r="F12" s="423">
        <v>0</v>
      </c>
      <c r="H12" s="423">
        <v>0</v>
      </c>
      <c r="I12" s="422"/>
    </row>
    <row r="13" spans="1:9" s="403" customFormat="1" ht="7.5" hidden="1" customHeight="1">
      <c r="F13" s="425"/>
      <c r="H13" s="425"/>
      <c r="I13" s="422"/>
    </row>
    <row r="14" spans="1:9" s="403" customFormat="1" ht="11.25" hidden="1">
      <c r="A14" s="403" t="s">
        <v>634</v>
      </c>
      <c r="F14" s="425">
        <v>0</v>
      </c>
      <c r="H14" s="425">
        <v>0</v>
      </c>
      <c r="I14" s="422"/>
    </row>
    <row r="15" spans="1:9" s="403" customFormat="1" ht="7.5" hidden="1" customHeight="1">
      <c r="F15" s="426"/>
      <c r="H15" s="426"/>
      <c r="I15" s="422"/>
    </row>
    <row r="16" spans="1:9" s="403" customFormat="1" ht="11.25" hidden="1">
      <c r="F16" s="422">
        <v>0</v>
      </c>
      <c r="H16" s="422">
        <v>0</v>
      </c>
      <c r="I16" s="422"/>
    </row>
    <row r="17" spans="1:10" s="403" customFormat="1" ht="9" customHeight="1">
      <c r="A17" s="415"/>
      <c r="F17" s="422"/>
      <c r="H17" s="422"/>
      <c r="I17" s="422"/>
    </row>
    <row r="18" spans="1:10" s="403" customFormat="1" ht="11.25">
      <c r="A18" s="684" t="s">
        <v>794</v>
      </c>
      <c r="F18" s="423"/>
      <c r="H18" s="423"/>
      <c r="I18" s="422"/>
    </row>
    <row r="19" spans="1:10" s="403" customFormat="1" ht="11.25">
      <c r="A19" s="684" t="s">
        <v>795</v>
      </c>
      <c r="E19" s="407">
        <v>3.7</v>
      </c>
      <c r="F19" s="425">
        <v>-800489</v>
      </c>
      <c r="G19" s="729"/>
      <c r="H19" s="425">
        <v>-81064</v>
      </c>
      <c r="I19" s="422"/>
    </row>
    <row r="20" spans="1:10" s="403" customFormat="1" ht="11.25">
      <c r="A20" s="430"/>
      <c r="B20" s="430"/>
      <c r="F20" s="425"/>
      <c r="G20" s="547"/>
      <c r="H20" s="425"/>
      <c r="I20" s="422"/>
    </row>
    <row r="21" spans="1:10" s="403" customFormat="1" ht="11.25">
      <c r="A21" s="684" t="s">
        <v>627</v>
      </c>
      <c r="B21" s="430"/>
      <c r="F21" s="425">
        <v>61331</v>
      </c>
      <c r="G21" s="547"/>
      <c r="H21" s="425">
        <v>54872</v>
      </c>
      <c r="I21" s="422"/>
    </row>
    <row r="22" spans="1:10" s="403" customFormat="1" ht="11.25">
      <c r="B22" s="430"/>
      <c r="F22" s="425"/>
      <c r="G22" s="547"/>
      <c r="H22" s="425"/>
      <c r="I22" s="422"/>
    </row>
    <row r="23" spans="1:10" s="403" customFormat="1" ht="11.25">
      <c r="A23" s="403" t="s">
        <v>381</v>
      </c>
      <c r="B23" s="430"/>
      <c r="F23" s="408">
        <v>29757</v>
      </c>
      <c r="G23" s="547"/>
      <c r="H23" s="408">
        <v>14220</v>
      </c>
      <c r="I23" s="410"/>
    </row>
    <row r="24" spans="1:10" s="403" customFormat="1" ht="11.25">
      <c r="A24" s="411" t="s">
        <v>458</v>
      </c>
      <c r="B24" s="430"/>
      <c r="F24" s="422">
        <v>-709401</v>
      </c>
      <c r="G24" s="547"/>
      <c r="H24" s="422">
        <v>-11972</v>
      </c>
      <c r="I24" s="422"/>
    </row>
    <row r="25" spans="1:10" s="403" customFormat="1" ht="11.25">
      <c r="I25" s="547"/>
    </row>
    <row r="26" spans="1:10" s="403" customFormat="1" thickBot="1">
      <c r="A26" s="411" t="s">
        <v>204</v>
      </c>
      <c r="F26" s="417">
        <v>7516153</v>
      </c>
      <c r="H26" s="417">
        <v>7872976</v>
      </c>
      <c r="I26" s="549">
        <v>0</v>
      </c>
      <c r="J26" s="570">
        <v>0</v>
      </c>
    </row>
    <row r="27" spans="1:10" ht="12.75" thickTop="1">
      <c r="A27" s="843" t="s">
        <v>798</v>
      </c>
      <c r="I27" s="42"/>
    </row>
    <row r="28" spans="1:10">
      <c r="C28" s="13"/>
      <c r="D28" s="13"/>
      <c r="E28" s="13"/>
      <c r="F28" s="13"/>
      <c r="G28" s="13"/>
      <c r="H28" s="13"/>
      <c r="I28" s="43"/>
    </row>
    <row r="29" spans="1:10">
      <c r="A29" s="3" t="s">
        <v>805</v>
      </c>
      <c r="C29" s="18"/>
      <c r="E29" s="13"/>
      <c r="F29" s="13"/>
      <c r="G29" s="13"/>
      <c r="H29" s="67"/>
      <c r="I29" s="43"/>
    </row>
    <row r="30" spans="1:10" s="669" customFormat="1">
      <c r="C30" s="671"/>
      <c r="E30" s="670"/>
      <c r="F30" s="670"/>
      <c r="G30" s="670"/>
      <c r="H30" s="67"/>
      <c r="I30" s="673"/>
    </row>
    <row r="31" spans="1:10" s="669" customFormat="1">
      <c r="C31" s="671"/>
      <c r="E31" s="670"/>
      <c r="F31" s="670"/>
      <c r="G31" s="670"/>
      <c r="H31" s="67"/>
      <c r="I31" s="673"/>
    </row>
    <row r="32" spans="1:10" s="669" customFormat="1">
      <c r="C32" s="671"/>
      <c r="E32" s="670"/>
      <c r="F32" s="670"/>
      <c r="G32" s="670"/>
      <c r="H32" s="67"/>
      <c r="I32" s="673"/>
    </row>
    <row r="33" spans="1:9" s="669" customFormat="1">
      <c r="C33" s="671"/>
      <c r="E33" s="670"/>
      <c r="F33" s="670"/>
      <c r="G33" s="670"/>
      <c r="H33" s="67"/>
      <c r="I33" s="673"/>
    </row>
    <row r="34" spans="1:9" s="669" customFormat="1">
      <c r="C34" s="671"/>
      <c r="E34" s="670"/>
      <c r="F34" s="670"/>
      <c r="G34" s="670"/>
      <c r="H34" s="67"/>
      <c r="I34" s="673"/>
    </row>
    <row r="35" spans="1:9" s="669" customFormat="1">
      <c r="C35" s="671"/>
      <c r="E35" s="670"/>
      <c r="F35" s="670"/>
      <c r="G35" s="670"/>
      <c r="H35" s="67"/>
      <c r="I35" s="673"/>
    </row>
    <row r="36" spans="1:9" s="669" customFormat="1">
      <c r="C36" s="671"/>
      <c r="E36" s="670"/>
      <c r="F36" s="670"/>
      <c r="G36" s="670"/>
      <c r="H36" s="67"/>
      <c r="I36" s="673"/>
    </row>
    <row r="37" spans="1:9" s="669" customFormat="1">
      <c r="C37" s="671"/>
      <c r="E37" s="670"/>
      <c r="F37" s="670"/>
      <c r="G37" s="670"/>
      <c r="H37" s="67"/>
      <c r="I37" s="673"/>
    </row>
    <row r="38" spans="1:9">
      <c r="C38" s="18"/>
      <c r="E38" s="13"/>
      <c r="F38" s="13"/>
      <c r="G38" s="13"/>
      <c r="H38" s="13"/>
      <c r="I38" s="21"/>
    </row>
    <row r="39" spans="1:9" s="47" customFormat="1">
      <c r="A39" s="85" t="s">
        <v>488</v>
      </c>
      <c r="B39" s="85"/>
      <c r="C39" s="85"/>
      <c r="D39" s="85"/>
      <c r="E39" s="85"/>
      <c r="F39" s="85"/>
      <c r="G39" s="85"/>
      <c r="I39" s="363"/>
    </row>
    <row r="40" spans="1:9" s="47" customFormat="1">
      <c r="A40" s="85" t="s">
        <v>489</v>
      </c>
      <c r="B40" s="85"/>
      <c r="C40" s="85"/>
      <c r="D40" s="85"/>
      <c r="E40" s="85"/>
      <c r="F40" s="85"/>
      <c r="G40" s="85"/>
      <c r="I40" s="363"/>
    </row>
    <row r="41" spans="1:9" s="47" customFormat="1">
      <c r="A41" s="59"/>
      <c r="B41" s="59"/>
      <c r="C41" s="59"/>
      <c r="D41" s="59"/>
      <c r="E41" s="59"/>
      <c r="F41" s="59"/>
      <c r="G41" s="59"/>
      <c r="I41" s="363"/>
    </row>
    <row r="42" spans="1:9" s="47" customFormat="1">
      <c r="A42" s="59"/>
      <c r="B42" s="59"/>
      <c r="C42" s="59"/>
      <c r="D42" s="59"/>
      <c r="E42" s="59"/>
      <c r="F42" s="59"/>
      <c r="G42" s="59"/>
      <c r="I42" s="363"/>
    </row>
    <row r="43" spans="1:9" s="47" customFormat="1">
      <c r="A43" s="59"/>
      <c r="B43" s="59"/>
      <c r="C43" s="59"/>
      <c r="D43" s="59"/>
      <c r="E43" s="59"/>
      <c r="F43" s="59"/>
      <c r="G43" s="59"/>
      <c r="I43" s="363"/>
    </row>
    <row r="44" spans="1:9" s="47" customFormat="1">
      <c r="A44" s="59"/>
      <c r="B44" s="59"/>
      <c r="C44" s="59"/>
      <c r="D44" s="59"/>
      <c r="E44" s="59"/>
      <c r="F44" s="59"/>
      <c r="G44" s="59"/>
      <c r="I44" s="363"/>
    </row>
    <row r="45" spans="1:9" s="674" customFormat="1">
      <c r="A45" s="676"/>
      <c r="B45" s="676"/>
      <c r="C45" s="676"/>
      <c r="D45" s="676"/>
      <c r="E45" s="676"/>
      <c r="F45" s="676"/>
      <c r="G45" s="676"/>
      <c r="I45" s="682"/>
    </row>
    <row r="46" spans="1:9" s="674" customFormat="1">
      <c r="A46" s="676"/>
      <c r="B46" s="676"/>
      <c r="C46" s="676"/>
      <c r="D46" s="676"/>
      <c r="E46" s="676"/>
      <c r="F46" s="676"/>
      <c r="G46" s="676"/>
      <c r="I46" s="682"/>
    </row>
    <row r="47" spans="1:9" s="47" customFormat="1">
      <c r="A47" s="182" t="s">
        <v>812</v>
      </c>
      <c r="B47" s="59"/>
      <c r="C47" s="59"/>
      <c r="D47" s="59"/>
      <c r="E47" s="59"/>
      <c r="F47" s="59"/>
      <c r="G47" s="59"/>
      <c r="I47" s="363"/>
    </row>
    <row r="48" spans="1:9" s="47" customFormat="1">
      <c r="A48" s="59" t="s">
        <v>490</v>
      </c>
      <c r="B48" s="59"/>
      <c r="C48" s="59"/>
      <c r="D48" s="566"/>
      <c r="E48" s="61"/>
      <c r="F48" s="61"/>
      <c r="G48" s="61"/>
      <c r="I48" s="363"/>
    </row>
    <row r="49" spans="3:9">
      <c r="C49" s="18"/>
      <c r="E49" s="13"/>
      <c r="F49" s="13"/>
      <c r="G49" s="13"/>
      <c r="H49" s="13"/>
      <c r="I49" s="21"/>
    </row>
    <row r="50" spans="3:9">
      <c r="C50" s="18"/>
      <c r="E50" s="13"/>
      <c r="F50" s="13"/>
      <c r="G50" s="13"/>
      <c r="H50" s="13"/>
      <c r="I50" s="21"/>
    </row>
    <row r="51" spans="3:9">
      <c r="I51" s="43"/>
    </row>
    <row r="52" spans="3:9">
      <c r="I52" s="43"/>
    </row>
    <row r="53" spans="3:9">
      <c r="I53" s="43"/>
    </row>
    <row r="54" spans="3:9">
      <c r="I54" s="43"/>
    </row>
    <row r="55" spans="3:9">
      <c r="I55" s="43"/>
    </row>
    <row r="56" spans="3:9">
      <c r="I56" s="43"/>
    </row>
    <row r="57" spans="3:9">
      <c r="I57" s="43"/>
    </row>
    <row r="58" spans="3:9">
      <c r="I58" s="43"/>
    </row>
    <row r="59" spans="3:9">
      <c r="I59" s="43"/>
    </row>
    <row r="60" spans="3:9">
      <c r="I60" s="43"/>
    </row>
    <row r="61" spans="3:9">
      <c r="I61" s="43"/>
    </row>
    <row r="62" spans="3:9">
      <c r="I62" s="43"/>
    </row>
    <row r="63" spans="3:9">
      <c r="I63" s="43"/>
    </row>
    <row r="64" spans="3:9">
      <c r="I64" s="43"/>
    </row>
    <row r="65" spans="9:9">
      <c r="I65" s="43"/>
    </row>
    <row r="66" spans="9:9">
      <c r="I66" s="43"/>
    </row>
    <row r="67" spans="9:9">
      <c r="I67" s="43"/>
    </row>
    <row r="68" spans="9:9">
      <c r="I68" s="43"/>
    </row>
    <row r="69" spans="9:9">
      <c r="I69" s="43"/>
    </row>
    <row r="84" spans="5:5">
      <c r="E84" s="3">
        <v>0</v>
      </c>
    </row>
    <row r="118" spans="5:5">
      <c r="E118" s="3">
        <v>0</v>
      </c>
    </row>
    <row r="121" spans="5:5">
      <c r="E121" s="3">
        <v>0</v>
      </c>
    </row>
  </sheetData>
  <mergeCells count="3">
    <mergeCell ref="F8:H8"/>
    <mergeCell ref="F5:H5"/>
    <mergeCell ref="F7:H7"/>
  </mergeCells>
  <phoneticPr fontId="10" type="noConversion"/>
  <printOptions horizontalCentered="1"/>
  <pageMargins left="0.75" right="0.5" top="0.5" bottom="0.25" header="0.5" footer="0.36"/>
  <pageSetup paperSize="9" orientation="portrait" r:id="rId1"/>
  <headerFooter alignWithMargins="0">
    <oddFooter>&amp;C5 of 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6"/>
  </sheetPr>
  <dimension ref="A1:N110"/>
  <sheetViews>
    <sheetView view="pageBreakPreview" topLeftCell="A29" zoomScaleSheetLayoutView="100" workbookViewId="0">
      <selection activeCell="A61" sqref="A61:XFD77"/>
    </sheetView>
  </sheetViews>
  <sheetFormatPr defaultRowHeight="12"/>
  <cols>
    <col min="1" max="1" width="5.125" style="68" customWidth="1"/>
    <col min="2" max="2" width="3.625" style="68" customWidth="1"/>
    <col min="3" max="3" width="41.625" style="68" customWidth="1"/>
    <col min="4" max="5" width="5.625" style="49" customWidth="1"/>
    <col min="6" max="6" width="10.375" style="68" customWidth="1"/>
    <col min="7" max="7" width="1.625" style="68" customWidth="1"/>
    <col min="8" max="8" width="10.375" style="68" customWidth="1"/>
    <col min="9" max="16384" width="9" style="68"/>
  </cols>
  <sheetData>
    <row r="1" spans="1:14">
      <c r="A1" s="216" t="s">
        <v>236</v>
      </c>
      <c r="B1" s="216"/>
      <c r="C1" s="216"/>
      <c r="D1" s="45"/>
      <c r="E1" s="45"/>
      <c r="F1" s="44"/>
      <c r="G1" s="44"/>
      <c r="H1" s="44"/>
    </row>
    <row r="2" spans="1:14">
      <c r="A2" s="4" t="s">
        <v>394</v>
      </c>
      <c r="B2" s="44"/>
      <c r="C2" s="44"/>
      <c r="D2" s="45"/>
      <c r="E2" s="45"/>
      <c r="F2" s="69"/>
      <c r="G2" s="69"/>
      <c r="H2" s="69"/>
    </row>
    <row r="3" spans="1:14">
      <c r="A3" s="44" t="s">
        <v>667</v>
      </c>
      <c r="B3" s="44"/>
      <c r="C3" s="44"/>
      <c r="D3" s="45"/>
      <c r="E3" s="45"/>
      <c r="F3" s="44"/>
      <c r="G3" s="44"/>
      <c r="H3" s="44"/>
    </row>
    <row r="4" spans="1:14">
      <c r="A4" s="44"/>
      <c r="B4" s="44"/>
      <c r="C4" s="44"/>
      <c r="D4" s="45"/>
      <c r="E4" s="45"/>
      <c r="F4" s="44"/>
      <c r="G4" s="44"/>
      <c r="H4" s="44"/>
    </row>
    <row r="5" spans="1:14">
      <c r="A5" s="44"/>
      <c r="B5" s="44"/>
      <c r="C5" s="44"/>
      <c r="D5" s="45"/>
      <c r="E5" s="45"/>
      <c r="F5" s="44"/>
      <c r="G5" s="44"/>
      <c r="H5" s="44"/>
    </row>
    <row r="6" spans="1:14" s="453" customFormat="1" ht="11.25" customHeight="1">
      <c r="A6" s="584"/>
      <c r="B6" s="584"/>
      <c r="C6" s="584"/>
      <c r="F6" s="855" t="s">
        <v>629</v>
      </c>
      <c r="G6" s="855"/>
      <c r="H6" s="855"/>
    </row>
    <row r="7" spans="1:14" s="453" customFormat="1" ht="11.25">
      <c r="A7" s="584"/>
      <c r="B7" s="584"/>
      <c r="C7" s="584"/>
      <c r="F7" s="847" t="s">
        <v>624</v>
      </c>
      <c r="G7" s="404"/>
      <c r="H7" s="847" t="s">
        <v>591</v>
      </c>
    </row>
    <row r="8" spans="1:14" s="432" customFormat="1" ht="11.25">
      <c r="A8" s="568"/>
      <c r="B8" s="568"/>
      <c r="C8" s="595"/>
      <c r="F8" s="856" t="s">
        <v>630</v>
      </c>
      <c r="G8" s="857"/>
      <c r="H8" s="857"/>
      <c r="I8" s="421"/>
      <c r="J8" s="421"/>
      <c r="K8" s="421"/>
      <c r="L8" s="421"/>
      <c r="M8" s="421"/>
    </row>
    <row r="9" spans="1:14" s="403" customFormat="1" ht="11.25">
      <c r="F9" s="858" t="s">
        <v>631</v>
      </c>
      <c r="G9" s="858"/>
      <c r="H9" s="858"/>
    </row>
    <row r="10" spans="1:14" s="453" customFormat="1" ht="11.25">
      <c r="A10" s="419" t="s">
        <v>392</v>
      </c>
      <c r="B10" s="419"/>
      <c r="C10" s="418"/>
      <c r="I10" s="455"/>
      <c r="J10" s="455"/>
      <c r="K10" s="455"/>
      <c r="L10" s="455"/>
      <c r="M10" s="455"/>
      <c r="N10" s="455"/>
    </row>
    <row r="11" spans="1:14" s="453" customFormat="1" ht="11.25">
      <c r="A11" s="419"/>
      <c r="B11" s="419"/>
      <c r="C11" s="418"/>
      <c r="F11" s="454"/>
      <c r="G11" s="454"/>
      <c r="H11" s="418"/>
      <c r="I11" s="455"/>
      <c r="J11" s="455"/>
      <c r="K11" s="455"/>
      <c r="L11" s="455"/>
      <c r="M11" s="455"/>
      <c r="N11" s="455"/>
    </row>
    <row r="12" spans="1:14" s="453" customFormat="1" ht="11.25">
      <c r="A12" s="453" t="s">
        <v>604</v>
      </c>
      <c r="F12" s="382">
        <v>91088</v>
      </c>
      <c r="G12" s="454"/>
      <c r="H12" s="683">
        <v>69092</v>
      </c>
      <c r="I12" s="455"/>
      <c r="J12" s="455"/>
      <c r="K12" s="455"/>
      <c r="L12" s="455"/>
      <c r="M12" s="455"/>
      <c r="N12" s="455"/>
    </row>
    <row r="13" spans="1:14" s="453" customFormat="1" ht="11.25">
      <c r="F13" s="382"/>
      <c r="G13" s="454"/>
      <c r="H13" s="382"/>
      <c r="I13" s="455"/>
      <c r="J13" s="455"/>
      <c r="K13" s="455"/>
      <c r="L13" s="455"/>
      <c r="M13" s="455"/>
      <c r="N13" s="455"/>
    </row>
    <row r="14" spans="1:14" s="453" customFormat="1" ht="11.25">
      <c r="A14" s="457" t="s">
        <v>292</v>
      </c>
      <c r="B14" s="457"/>
      <c r="F14" s="382"/>
      <c r="G14" s="454"/>
      <c r="H14" s="382"/>
      <c r="I14" s="455"/>
      <c r="J14" s="455"/>
      <c r="K14" s="455"/>
      <c r="L14" s="455"/>
      <c r="M14" s="455"/>
      <c r="N14" s="455"/>
    </row>
    <row r="15" spans="1:14" s="453" customFormat="1" ht="11.25">
      <c r="A15" s="458" t="s">
        <v>401</v>
      </c>
      <c r="B15" s="458"/>
      <c r="F15" s="382"/>
      <c r="G15" s="454"/>
      <c r="H15" s="382"/>
      <c r="I15" s="455"/>
      <c r="J15" s="472"/>
      <c r="K15" s="455"/>
      <c r="L15" s="455"/>
      <c r="M15" s="455"/>
      <c r="N15" s="455"/>
    </row>
    <row r="16" spans="1:14" s="453" customFormat="1" ht="11.25">
      <c r="A16" s="460" t="s">
        <v>402</v>
      </c>
      <c r="B16" s="458"/>
      <c r="F16" s="382">
        <v>7137</v>
      </c>
      <c r="G16" s="454"/>
      <c r="H16" s="683">
        <v>19955</v>
      </c>
      <c r="I16" s="455"/>
      <c r="J16" s="455"/>
      <c r="K16" s="455"/>
      <c r="L16" s="472"/>
      <c r="M16" s="455"/>
      <c r="N16" s="455"/>
    </row>
    <row r="17" spans="1:14" s="453" customFormat="1" ht="11.25" hidden="1">
      <c r="A17" s="459" t="s">
        <v>404</v>
      </c>
      <c r="B17" s="458"/>
      <c r="F17" s="382"/>
      <c r="G17" s="454"/>
      <c r="H17" s="382"/>
      <c r="I17" s="455"/>
      <c r="J17" s="455"/>
      <c r="K17" s="455"/>
      <c r="L17" s="455"/>
      <c r="M17" s="455"/>
      <c r="N17" s="455"/>
    </row>
    <row r="18" spans="1:14" s="453" customFormat="1" ht="11.25" hidden="1">
      <c r="A18" s="460" t="s">
        <v>405</v>
      </c>
      <c r="B18" s="460"/>
      <c r="F18" s="410">
        <v>0</v>
      </c>
      <c r="G18" s="454"/>
      <c r="H18" s="410">
        <v>0</v>
      </c>
      <c r="I18" s="455"/>
      <c r="J18" s="455"/>
      <c r="K18" s="472"/>
      <c r="L18" s="455"/>
      <c r="M18" s="455"/>
      <c r="N18" s="455"/>
    </row>
    <row r="19" spans="1:14" s="453" customFormat="1" ht="11.25" hidden="1">
      <c r="A19" s="459" t="s">
        <v>496</v>
      </c>
      <c r="B19" s="460"/>
      <c r="F19" s="412">
        <v>0</v>
      </c>
      <c r="G19" s="454"/>
      <c r="H19" s="412">
        <v>0</v>
      </c>
      <c r="I19" s="455"/>
      <c r="J19" s="455"/>
      <c r="K19" s="472"/>
      <c r="L19" s="455"/>
      <c r="M19" s="455"/>
      <c r="N19" s="455"/>
    </row>
    <row r="20" spans="1:14" s="453" customFormat="1" ht="11.25">
      <c r="F20" s="413">
        <v>98225</v>
      </c>
      <c r="G20" s="454"/>
      <c r="H20" s="413">
        <v>89047</v>
      </c>
      <c r="I20" s="472"/>
      <c r="J20" s="455"/>
      <c r="K20" s="455"/>
      <c r="L20" s="455"/>
      <c r="M20" s="455"/>
      <c r="N20" s="455"/>
    </row>
    <row r="21" spans="1:14" s="453" customFormat="1" ht="11.25">
      <c r="A21" s="461" t="s">
        <v>283</v>
      </c>
      <c r="B21" s="457"/>
      <c r="F21" s="382"/>
      <c r="G21" s="454"/>
      <c r="H21" s="382"/>
      <c r="I21" s="455"/>
      <c r="J21" s="455"/>
      <c r="K21" s="455"/>
      <c r="L21" s="455"/>
      <c r="M21" s="455"/>
      <c r="N21" s="455"/>
    </row>
    <row r="22" spans="1:14" s="453" customFormat="1" ht="11.25">
      <c r="A22" s="458" t="s">
        <v>239</v>
      </c>
      <c r="F22" s="405">
        <v>-512682</v>
      </c>
      <c r="G22" s="454"/>
      <c r="H22" s="405">
        <v>28193</v>
      </c>
      <c r="I22" s="455"/>
      <c r="J22" s="472"/>
      <c r="K22" s="455"/>
      <c r="L22" s="455"/>
      <c r="M22" s="455"/>
      <c r="N22" s="455"/>
    </row>
    <row r="23" spans="1:14" s="453" customFormat="1" ht="11.25">
      <c r="A23" s="458" t="s">
        <v>656</v>
      </c>
      <c r="F23" s="406">
        <v>-3013</v>
      </c>
      <c r="G23" s="454"/>
      <c r="H23" s="406">
        <v>25000</v>
      </c>
      <c r="I23" s="455"/>
      <c r="J23" s="472"/>
      <c r="K23" s="455"/>
      <c r="L23" s="455"/>
      <c r="M23" s="455"/>
      <c r="N23" s="455"/>
    </row>
    <row r="24" spans="1:14" s="453" customFormat="1" ht="11.25">
      <c r="A24" s="458" t="s">
        <v>657</v>
      </c>
      <c r="F24" s="406">
        <v>-67646</v>
      </c>
      <c r="G24" s="454"/>
      <c r="H24" s="406">
        <v>-38084</v>
      </c>
      <c r="I24" s="455"/>
      <c r="J24" s="472"/>
      <c r="K24" s="455"/>
      <c r="L24" s="455"/>
      <c r="M24" s="455"/>
      <c r="N24" s="455"/>
    </row>
    <row r="25" spans="1:14" s="453" customFormat="1" ht="3" customHeight="1">
      <c r="A25" s="458"/>
      <c r="F25" s="408">
        <v>0</v>
      </c>
      <c r="G25" s="454"/>
      <c r="H25" s="408">
        <v>0</v>
      </c>
      <c r="I25" s="455"/>
      <c r="J25" s="455"/>
      <c r="K25" s="455"/>
      <c r="L25" s="455"/>
      <c r="M25" s="455"/>
      <c r="N25" s="455"/>
    </row>
    <row r="26" spans="1:14" s="453" customFormat="1" ht="11.25">
      <c r="A26" s="458"/>
      <c r="F26" s="410">
        <v>-583341</v>
      </c>
      <c r="G26" s="454"/>
      <c r="H26" s="410">
        <v>15109</v>
      </c>
      <c r="I26" s="472"/>
      <c r="J26" s="455"/>
      <c r="K26" s="455"/>
      <c r="L26" s="455"/>
      <c r="M26" s="455"/>
      <c r="N26" s="455"/>
    </row>
    <row r="27" spans="1:14" s="453" customFormat="1" ht="11.25">
      <c r="A27" s="462" t="s">
        <v>36</v>
      </c>
      <c r="B27" s="457"/>
      <c r="F27" s="382"/>
      <c r="G27" s="454"/>
      <c r="H27" s="382"/>
      <c r="I27" s="455"/>
      <c r="J27" s="455"/>
      <c r="K27" s="455"/>
      <c r="L27" s="455"/>
      <c r="M27" s="455"/>
      <c r="N27" s="455"/>
    </row>
    <row r="28" spans="1:14" s="453" customFormat="1" ht="11.25">
      <c r="A28" s="458" t="s">
        <v>242</v>
      </c>
      <c r="F28" s="405">
        <v>-1556</v>
      </c>
      <c r="G28" s="463"/>
      <c r="H28" s="405">
        <v>-2309</v>
      </c>
      <c r="I28" s="455"/>
      <c r="J28" s="455"/>
      <c r="K28" s="455"/>
      <c r="L28" s="455"/>
      <c r="M28" s="455"/>
      <c r="N28" s="455"/>
    </row>
    <row r="29" spans="1:14" s="453" customFormat="1" ht="11.25">
      <c r="A29" s="458" t="s">
        <v>243</v>
      </c>
      <c r="F29" s="406">
        <v>-15</v>
      </c>
      <c r="G29" s="463"/>
      <c r="H29" s="406">
        <v>0</v>
      </c>
      <c r="I29" s="455"/>
      <c r="J29" s="455"/>
      <c r="K29" s="455"/>
      <c r="L29" s="455"/>
      <c r="M29" s="455"/>
      <c r="N29" s="455"/>
    </row>
    <row r="30" spans="1:14" s="453" customFormat="1" ht="11.25">
      <c r="A30" s="458" t="s">
        <v>617</v>
      </c>
      <c r="F30" s="406">
        <v>-5752</v>
      </c>
      <c r="G30" s="463"/>
      <c r="H30" s="406">
        <v>-5568</v>
      </c>
      <c r="I30" s="455"/>
      <c r="J30" s="455"/>
      <c r="K30" s="455"/>
      <c r="L30" s="455"/>
      <c r="M30" s="455"/>
      <c r="N30" s="455"/>
    </row>
    <row r="31" spans="1:14" s="453" customFormat="1" ht="11.25">
      <c r="A31" s="458" t="s">
        <v>388</v>
      </c>
      <c r="F31" s="406">
        <v>-41777</v>
      </c>
      <c r="G31" s="463"/>
      <c r="H31" s="406">
        <v>0</v>
      </c>
      <c r="I31" s="455"/>
      <c r="J31" s="455"/>
      <c r="K31" s="455"/>
      <c r="L31" s="455"/>
      <c r="M31" s="455"/>
      <c r="N31" s="455"/>
    </row>
    <row r="32" spans="1:14" s="453" customFormat="1" ht="11.25">
      <c r="A32" s="458" t="s">
        <v>246</v>
      </c>
      <c r="F32" s="408">
        <v>6654</v>
      </c>
      <c r="G32" s="463"/>
      <c r="H32" s="408">
        <v>9256</v>
      </c>
      <c r="I32" s="455"/>
      <c r="J32" s="455"/>
      <c r="K32" s="455"/>
      <c r="L32" s="455"/>
      <c r="M32" s="455"/>
      <c r="N32" s="455"/>
    </row>
    <row r="33" spans="1:14" s="453" customFormat="1" ht="11.25">
      <c r="A33" s="420"/>
      <c r="F33" s="410">
        <v>-42446</v>
      </c>
      <c r="G33" s="454"/>
      <c r="H33" s="410">
        <v>1379</v>
      </c>
      <c r="I33" s="472"/>
      <c r="J33" s="472"/>
      <c r="K33" s="455"/>
      <c r="L33" s="455"/>
      <c r="M33" s="455"/>
      <c r="N33" s="455"/>
    </row>
    <row r="34" spans="1:14" s="453" customFormat="1" ht="11.25">
      <c r="A34" s="420"/>
      <c r="F34" s="410"/>
      <c r="G34" s="454"/>
      <c r="H34" s="410"/>
      <c r="I34" s="472"/>
      <c r="J34" s="455"/>
      <c r="K34" s="455"/>
      <c r="L34" s="455"/>
      <c r="M34" s="455"/>
      <c r="N34" s="455"/>
    </row>
    <row r="35" spans="1:14" s="453" customFormat="1" ht="11.25">
      <c r="A35" s="418"/>
      <c r="F35" s="410"/>
      <c r="G35" s="454"/>
      <c r="H35" s="410"/>
      <c r="I35" s="455"/>
      <c r="J35" s="455"/>
      <c r="K35" s="455"/>
      <c r="L35" s="455"/>
      <c r="M35" s="455"/>
      <c r="N35" s="455"/>
    </row>
    <row r="36" spans="1:14" s="453" customFormat="1" ht="11.25">
      <c r="A36" s="457" t="s">
        <v>497</v>
      </c>
      <c r="B36" s="457"/>
      <c r="F36" s="413">
        <v>-527562</v>
      </c>
      <c r="G36" s="454"/>
      <c r="H36" s="413">
        <v>105535</v>
      </c>
      <c r="I36" s="455"/>
      <c r="J36" s="455"/>
      <c r="K36" s="455"/>
      <c r="L36" s="455"/>
      <c r="M36" s="455"/>
      <c r="N36" s="455"/>
    </row>
    <row r="37" spans="1:14" s="453" customFormat="1" ht="11.25">
      <c r="F37" s="382"/>
      <c r="G37" s="454"/>
      <c r="H37" s="382"/>
      <c r="I37" s="455"/>
      <c r="J37" s="455"/>
      <c r="K37" s="455"/>
      <c r="L37" s="455"/>
      <c r="M37" s="455"/>
      <c r="N37" s="455"/>
    </row>
    <row r="38" spans="1:14" s="453" customFormat="1" ht="11.25" hidden="1">
      <c r="A38" s="419" t="s">
        <v>37</v>
      </c>
      <c r="B38" s="419"/>
      <c r="F38" s="382"/>
      <c r="G38" s="454"/>
      <c r="H38" s="382"/>
      <c r="I38" s="455"/>
      <c r="J38" s="455"/>
      <c r="K38" s="455"/>
      <c r="L38" s="455"/>
      <c r="M38" s="455"/>
      <c r="N38" s="455"/>
    </row>
    <row r="39" spans="1:14" s="453" customFormat="1" ht="11.25" hidden="1">
      <c r="A39" s="419"/>
      <c r="B39" s="419"/>
      <c r="F39" s="382"/>
      <c r="G39" s="454"/>
      <c r="H39" s="382"/>
      <c r="I39" s="455"/>
      <c r="J39" s="455"/>
      <c r="K39" s="455"/>
      <c r="L39" s="455"/>
      <c r="M39" s="455"/>
      <c r="N39" s="455"/>
    </row>
    <row r="40" spans="1:14" s="453" customFormat="1" ht="11.25" hidden="1">
      <c r="A40" s="453" t="s">
        <v>456</v>
      </c>
      <c r="B40" s="419"/>
      <c r="F40" s="412">
        <v>0</v>
      </c>
      <c r="G40" s="454"/>
      <c r="H40" s="412">
        <v>0</v>
      </c>
      <c r="I40" s="455"/>
      <c r="J40" s="455"/>
      <c r="K40" s="455"/>
      <c r="L40" s="455"/>
      <c r="M40" s="455"/>
      <c r="N40" s="455"/>
    </row>
    <row r="41" spans="1:14" s="453" customFormat="1" ht="11.25" hidden="1">
      <c r="A41" s="419" t="s">
        <v>503</v>
      </c>
      <c r="B41" s="418"/>
      <c r="F41" s="410">
        <v>0</v>
      </c>
      <c r="G41" s="454"/>
      <c r="H41" s="410">
        <v>0</v>
      </c>
      <c r="I41" s="455"/>
      <c r="J41" s="455"/>
      <c r="K41" s="455"/>
      <c r="L41" s="455"/>
      <c r="M41" s="455"/>
      <c r="N41" s="455"/>
    </row>
    <row r="42" spans="1:14" s="453" customFormat="1" ht="11.25">
      <c r="F42" s="412"/>
      <c r="G42" s="454"/>
      <c r="H42" s="412"/>
      <c r="I42" s="455"/>
      <c r="J42" s="455"/>
      <c r="K42" s="455"/>
      <c r="L42" s="455"/>
      <c r="M42" s="455"/>
      <c r="N42" s="455"/>
    </row>
    <row r="43" spans="1:14" s="453" customFormat="1" ht="11.25">
      <c r="A43" s="419" t="s">
        <v>396</v>
      </c>
      <c r="B43" s="418"/>
      <c r="F43" s="382">
        <v>-527562</v>
      </c>
      <c r="G43" s="454"/>
      <c r="H43" s="382">
        <v>105535</v>
      </c>
      <c r="I43" s="455"/>
      <c r="J43" s="455"/>
      <c r="K43" s="455"/>
      <c r="L43" s="455"/>
      <c r="M43" s="455"/>
      <c r="N43" s="455"/>
    </row>
    <row r="44" spans="1:14" s="453" customFormat="1" ht="11.25">
      <c r="A44" s="419"/>
      <c r="B44" s="418"/>
      <c r="F44" s="465"/>
      <c r="G44" s="454"/>
      <c r="H44" s="465"/>
      <c r="I44" s="455"/>
      <c r="J44" s="455"/>
      <c r="K44" s="455"/>
      <c r="L44" s="455"/>
      <c r="M44" s="455"/>
      <c r="N44" s="455"/>
    </row>
    <row r="45" spans="1:14" s="453" customFormat="1" ht="11.25">
      <c r="A45" s="418" t="s">
        <v>38</v>
      </c>
      <c r="B45" s="418"/>
      <c r="F45" s="465">
        <v>673008</v>
      </c>
      <c r="G45" s="454"/>
      <c r="H45" s="465">
        <v>53071</v>
      </c>
      <c r="I45" s="455"/>
      <c r="J45" s="455"/>
      <c r="K45" s="455"/>
      <c r="L45" s="455"/>
      <c r="M45" s="455"/>
      <c r="N45" s="455"/>
    </row>
    <row r="46" spans="1:14" s="453" customFormat="1" ht="11.25">
      <c r="A46" s="418"/>
      <c r="B46" s="418"/>
      <c r="F46" s="465"/>
      <c r="G46" s="418"/>
      <c r="H46" s="465"/>
      <c r="I46" s="455"/>
      <c r="J46" s="455"/>
      <c r="K46" s="455"/>
      <c r="L46" s="455"/>
      <c r="M46" s="455"/>
      <c r="N46" s="455"/>
    </row>
    <row r="47" spans="1:14" s="453" customFormat="1" thickBot="1">
      <c r="A47" s="419" t="s">
        <v>39</v>
      </c>
      <c r="B47" s="418"/>
      <c r="F47" s="466">
        <v>145446</v>
      </c>
      <c r="G47" s="467"/>
      <c r="H47" s="466">
        <v>158606</v>
      </c>
      <c r="I47" s="472">
        <v>0</v>
      </c>
      <c r="J47" s="455"/>
      <c r="K47" s="455"/>
      <c r="L47" s="455"/>
      <c r="M47" s="455"/>
      <c r="N47" s="455"/>
    </row>
    <row r="48" spans="1:14" s="47" customFormat="1" ht="12.75" thickTop="1">
      <c r="D48" s="399"/>
      <c r="E48" s="49"/>
      <c r="F48" s="56"/>
      <c r="G48" s="56"/>
      <c r="H48" s="56"/>
      <c r="I48" s="363"/>
      <c r="J48" s="363"/>
      <c r="K48" s="363"/>
      <c r="L48" s="363"/>
      <c r="M48" s="363"/>
      <c r="N48" s="363"/>
    </row>
    <row r="49" spans="1:14" s="47" customFormat="1">
      <c r="I49" s="363"/>
      <c r="J49" s="363"/>
      <c r="K49" s="363"/>
      <c r="L49" s="363"/>
      <c r="M49" s="363"/>
      <c r="N49" s="363"/>
    </row>
    <row r="50" spans="1:14" s="47" customFormat="1">
      <c r="A50" s="47" t="s">
        <v>805</v>
      </c>
      <c r="D50" s="49"/>
      <c r="E50" s="49"/>
      <c r="I50" s="402"/>
      <c r="J50" s="363"/>
      <c r="K50" s="363"/>
      <c r="L50" s="363"/>
      <c r="M50" s="363"/>
      <c r="N50" s="363"/>
    </row>
    <row r="51" spans="1:14" s="47" customFormat="1">
      <c r="D51" s="49"/>
      <c r="E51" s="49"/>
      <c r="I51" s="363"/>
      <c r="J51" s="363"/>
      <c r="K51" s="363"/>
      <c r="L51" s="363"/>
      <c r="M51" s="363"/>
      <c r="N51" s="363"/>
    </row>
    <row r="52" spans="1:14" s="47" customFormat="1">
      <c r="D52" s="49"/>
      <c r="E52" s="49"/>
      <c r="I52" s="363"/>
      <c r="J52" s="363"/>
      <c r="K52" s="363"/>
      <c r="L52" s="363"/>
      <c r="M52" s="363"/>
      <c r="N52" s="363"/>
    </row>
    <row r="53" spans="1:14" s="47" customFormat="1">
      <c r="A53" s="860" t="s">
        <v>252</v>
      </c>
      <c r="B53" s="860"/>
      <c r="C53" s="860"/>
      <c r="D53" s="860"/>
      <c r="E53" s="860"/>
      <c r="F53" s="860"/>
      <c r="G53" s="860"/>
      <c r="H53" s="860"/>
      <c r="I53" s="363"/>
      <c r="J53" s="363"/>
      <c r="K53" s="363"/>
      <c r="L53" s="363"/>
      <c r="M53" s="363"/>
      <c r="N53" s="363"/>
    </row>
    <row r="54" spans="1:14" s="47" customFormat="1">
      <c r="A54" s="860" t="s">
        <v>253</v>
      </c>
      <c r="B54" s="860"/>
      <c r="C54" s="860"/>
      <c r="D54" s="860"/>
      <c r="E54" s="860"/>
      <c r="F54" s="860"/>
      <c r="G54" s="860"/>
      <c r="H54" s="860"/>
      <c r="I54" s="363"/>
      <c r="J54" s="363"/>
      <c r="K54" s="363"/>
      <c r="L54" s="363"/>
      <c r="M54" s="363"/>
      <c r="N54" s="363"/>
    </row>
    <row r="55" spans="1:14" s="47" customFormat="1">
      <c r="A55" s="30"/>
      <c r="B55" s="178"/>
      <c r="C55" s="178"/>
      <c r="D55" s="179"/>
      <c r="E55" s="179"/>
      <c r="F55" s="180"/>
      <c r="G55" s="180"/>
      <c r="H55" s="180"/>
      <c r="I55" s="363"/>
      <c r="J55" s="363"/>
      <c r="K55" s="363"/>
      <c r="L55" s="363"/>
      <c r="M55" s="363"/>
      <c r="N55" s="363"/>
    </row>
    <row r="56" spans="1:14" s="47" customFormat="1">
      <c r="A56" s="30"/>
      <c r="B56" s="178"/>
      <c r="C56" s="178"/>
      <c r="D56" s="179"/>
      <c r="E56" s="179"/>
      <c r="F56" s="178"/>
      <c r="G56" s="178"/>
      <c r="H56" s="178"/>
      <c r="I56" s="363"/>
      <c r="J56" s="363"/>
      <c r="K56" s="363"/>
      <c r="L56" s="363"/>
      <c r="M56" s="363"/>
      <c r="N56" s="363"/>
    </row>
    <row r="57" spans="1:14" s="674" customFormat="1">
      <c r="A57" s="672"/>
      <c r="B57" s="680"/>
      <c r="C57" s="680"/>
      <c r="D57" s="681"/>
      <c r="E57" s="681"/>
      <c r="F57" s="680"/>
      <c r="G57" s="680"/>
      <c r="H57" s="680"/>
      <c r="I57" s="682"/>
      <c r="J57" s="682"/>
      <c r="K57" s="682"/>
      <c r="L57" s="682"/>
      <c r="M57" s="682"/>
      <c r="N57" s="682"/>
    </row>
    <row r="58" spans="1:14" s="674" customFormat="1">
      <c r="A58" s="672"/>
      <c r="B58" s="680"/>
      <c r="C58" s="680"/>
      <c r="D58" s="681"/>
      <c r="E58" s="681"/>
      <c r="F58" s="680"/>
      <c r="G58" s="680"/>
      <c r="H58" s="680"/>
      <c r="I58" s="682"/>
      <c r="J58" s="682"/>
      <c r="K58" s="682"/>
      <c r="L58" s="682"/>
      <c r="M58" s="682"/>
      <c r="N58" s="682"/>
    </row>
    <row r="59" spans="1:14" s="47" customFormat="1">
      <c r="A59" s="182" t="s">
        <v>813</v>
      </c>
      <c r="B59" s="59"/>
      <c r="C59" s="59"/>
      <c r="D59" s="59"/>
      <c r="E59" s="59"/>
      <c r="F59" s="59"/>
      <c r="G59" s="59"/>
      <c r="H59" s="59"/>
      <c r="I59" s="363"/>
      <c r="J59" s="363"/>
      <c r="K59" s="363"/>
      <c r="L59" s="363"/>
      <c r="M59" s="363"/>
      <c r="N59" s="363"/>
    </row>
    <row r="60" spans="1:14" s="47" customFormat="1">
      <c r="A60" s="30" t="s">
        <v>491</v>
      </c>
      <c r="B60" s="59"/>
      <c r="C60" s="59"/>
      <c r="D60" s="59"/>
      <c r="E60" s="59"/>
      <c r="F60" s="59"/>
      <c r="G60" s="59"/>
      <c r="H60" s="59"/>
      <c r="I60" s="363"/>
      <c r="J60" s="363"/>
      <c r="K60" s="363"/>
      <c r="L60" s="363"/>
      <c r="M60" s="363"/>
      <c r="N60" s="363"/>
    </row>
    <row r="61" spans="1:14">
      <c r="I61" s="558"/>
      <c r="J61" s="558"/>
      <c r="K61" s="558"/>
      <c r="L61" s="558"/>
      <c r="M61" s="558"/>
      <c r="N61" s="558"/>
    </row>
    <row r="62" spans="1:14">
      <c r="I62" s="558"/>
      <c r="J62" s="558"/>
      <c r="K62" s="558"/>
      <c r="L62" s="558"/>
      <c r="M62" s="558"/>
      <c r="N62" s="558"/>
    </row>
    <row r="73" spans="6:6">
      <c r="F73" s="68" t="e">
        <v>#REF!</v>
      </c>
    </row>
    <row r="107" spans="6:7">
      <c r="F107" s="68" t="e">
        <v>#REF!</v>
      </c>
    </row>
    <row r="110" spans="6:7">
      <c r="G110" s="68" t="e">
        <v>#REF!</v>
      </c>
    </row>
  </sheetData>
  <mergeCells count="5">
    <mergeCell ref="F9:H9"/>
    <mergeCell ref="A53:H53"/>
    <mergeCell ref="A54:H54"/>
    <mergeCell ref="F6:H6"/>
    <mergeCell ref="F8:H8"/>
  </mergeCells>
  <phoneticPr fontId="69" type="noConversion"/>
  <conditionalFormatting sqref="F2:H2">
    <cfRule type="cellIs" dxfId="3" priority="1" stopIfTrue="1" operator="notEqual">
      <formula>0</formula>
    </cfRule>
  </conditionalFormatting>
  <printOptions horizontalCentered="1"/>
  <pageMargins left="0.75" right="0.5" top="0.5" bottom="0.25" header="0.5" footer="0.36"/>
  <pageSetup paperSize="9" fitToWidth="12" fitToHeight="12" orientation="portrait" r:id="rId1"/>
  <headerFooter alignWithMargins="0">
    <oddFooter>&amp;C6 of 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T138"/>
  <sheetViews>
    <sheetView view="pageBreakPreview" topLeftCell="A39" zoomScaleSheetLayoutView="100" workbookViewId="0">
      <selection activeCell="E27" sqref="E27"/>
    </sheetView>
  </sheetViews>
  <sheetFormatPr defaultColWidth="10.25" defaultRowHeight="12"/>
  <cols>
    <col min="1" max="1" width="5.125" style="68" customWidth="1"/>
    <col min="2" max="2" width="3.625" style="68" customWidth="1"/>
    <col min="3" max="3" width="29.625" style="68" customWidth="1"/>
    <col min="4" max="4" width="4.25" style="68" customWidth="1"/>
    <col min="5" max="5" width="9.125" style="49" customWidth="1"/>
    <col min="6" max="6" width="1.5" style="49" customWidth="1"/>
    <col min="7" max="7" width="9.375" style="68" customWidth="1"/>
    <col min="8" max="8" width="1.5" style="68" customWidth="1"/>
    <col min="9" max="9" width="9.125" style="68" customWidth="1"/>
    <col min="10" max="10" width="1.5" style="68" customWidth="1"/>
    <col min="11" max="16384" width="10.25" style="68"/>
  </cols>
  <sheetData>
    <row r="1" spans="1:20">
      <c r="A1" s="216" t="str">
        <f>'Distribution '!A1</f>
        <v>NIT - EQUITY MARKET OPPORTUNITY  FUND</v>
      </c>
      <c r="B1" s="216"/>
      <c r="C1" s="216"/>
      <c r="D1" s="216"/>
      <c r="E1" s="45"/>
      <c r="F1" s="45"/>
      <c r="G1" s="44"/>
    </row>
    <row r="2" spans="1:20">
      <c r="A2" s="4" t="s">
        <v>394</v>
      </c>
      <c r="B2" s="44"/>
      <c r="C2" s="44"/>
      <c r="D2" s="44"/>
      <c r="E2" s="45"/>
      <c r="F2" s="45"/>
      <c r="G2" s="69"/>
    </row>
    <row r="3" spans="1:20">
      <c r="A3" s="44" t="str">
        <f>UHF!A3</f>
        <v>FOR THE QUARTER ENDED SEPTEMBER 30, 2015</v>
      </c>
      <c r="B3" s="44"/>
      <c r="C3" s="44"/>
      <c r="D3" s="44"/>
      <c r="E3" s="45"/>
      <c r="F3" s="45"/>
      <c r="G3" s="44"/>
    </row>
    <row r="4" spans="1:20">
      <c r="A4" s="44"/>
      <c r="B4" s="44"/>
      <c r="C4" s="44"/>
      <c r="D4" s="44"/>
      <c r="E4" s="45"/>
      <c r="F4" s="45"/>
      <c r="G4" s="44"/>
    </row>
    <row r="5" spans="1:20">
      <c r="A5" s="44"/>
      <c r="B5" s="44"/>
      <c r="C5" s="44"/>
      <c r="D5" s="44"/>
      <c r="E5" s="45"/>
      <c r="F5" s="45"/>
      <c r="G5" s="44"/>
    </row>
    <row r="6" spans="1:20">
      <c r="A6" s="44"/>
      <c r="B6" s="44"/>
      <c r="C6" s="44"/>
      <c r="D6" s="861" t="s">
        <v>237</v>
      </c>
      <c r="E6" s="861" t="s">
        <v>433</v>
      </c>
      <c r="F6" s="541"/>
      <c r="G6" s="861" t="s">
        <v>434</v>
      </c>
      <c r="H6" s="543"/>
      <c r="I6" s="864" t="s">
        <v>435</v>
      </c>
    </row>
    <row r="7" spans="1:20">
      <c r="A7" s="44"/>
      <c r="B7" s="44"/>
      <c r="C7" s="44"/>
      <c r="D7" s="862"/>
      <c r="E7" s="862"/>
      <c r="F7" s="542"/>
      <c r="G7" s="862"/>
      <c r="H7" s="544"/>
      <c r="I7" s="865"/>
    </row>
    <row r="8" spans="1:20">
      <c r="A8" s="44"/>
      <c r="B8" s="44"/>
      <c r="C8" s="44"/>
      <c r="D8" s="862"/>
      <c r="E8" s="862"/>
      <c r="F8" s="542"/>
      <c r="G8" s="862"/>
      <c r="H8" s="544"/>
      <c r="I8" s="865"/>
    </row>
    <row r="9" spans="1:20" s="449" customFormat="1" ht="11.25">
      <c r="A9" s="444"/>
      <c r="B9" s="444"/>
      <c r="C9" s="445"/>
      <c r="D9" s="863"/>
      <c r="E9" s="863"/>
      <c r="F9" s="529"/>
      <c r="G9" s="863"/>
      <c r="H9" s="530"/>
      <c r="I9" s="866"/>
      <c r="J9" s="535"/>
      <c r="K9" s="532"/>
      <c r="L9" s="447"/>
      <c r="M9" s="448"/>
      <c r="N9" s="447"/>
      <c r="O9" s="447"/>
      <c r="P9" s="447"/>
      <c r="Q9" s="447"/>
      <c r="R9" s="447"/>
      <c r="S9" s="447"/>
    </row>
    <row r="10" spans="1:20" s="450" customFormat="1" ht="11.25">
      <c r="D10" s="538"/>
      <c r="E10" s="533"/>
      <c r="F10" s="534"/>
      <c r="G10" s="533"/>
      <c r="H10" s="531"/>
      <c r="I10" s="533"/>
      <c r="J10" s="534"/>
      <c r="K10" s="540"/>
    </row>
    <row r="11" spans="1:20" s="453" customFormat="1" ht="11.25">
      <c r="A11" s="419" t="s">
        <v>392</v>
      </c>
      <c r="B11" s="419"/>
      <c r="C11" s="418"/>
      <c r="D11" s="478"/>
      <c r="E11" s="858" t="s">
        <v>420</v>
      </c>
      <c r="F11" s="858"/>
      <c r="G11" s="858"/>
      <c r="H11" s="858"/>
      <c r="I11" s="858"/>
      <c r="J11" s="858"/>
      <c r="K11" s="455"/>
      <c r="L11" s="455"/>
      <c r="M11" s="455"/>
      <c r="N11" s="455"/>
      <c r="O11" s="455"/>
      <c r="P11" s="455"/>
      <c r="Q11" s="455"/>
      <c r="R11" s="455"/>
      <c r="S11" s="455"/>
      <c r="T11" s="455"/>
    </row>
    <row r="12" spans="1:20" s="453" customFormat="1" ht="9.9499999999999993" customHeight="1">
      <c r="A12" s="419"/>
      <c r="B12" s="419"/>
      <c r="C12" s="418"/>
      <c r="D12" s="418"/>
      <c r="E12" s="454"/>
      <c r="F12" s="454"/>
      <c r="G12" s="418"/>
      <c r="H12" s="455"/>
      <c r="I12" s="455"/>
      <c r="K12" s="455"/>
      <c r="L12" s="455"/>
      <c r="M12" s="455"/>
      <c r="N12" s="455"/>
      <c r="O12" s="455"/>
      <c r="P12" s="455"/>
      <c r="Q12" s="455"/>
      <c r="R12" s="455"/>
      <c r="S12" s="455"/>
      <c r="T12" s="455"/>
    </row>
    <row r="13" spans="1:20" s="453" customFormat="1" ht="11.25">
      <c r="A13" s="453" t="s">
        <v>437</v>
      </c>
      <c r="E13" s="382">
        <f>'Cash Flow '!F12</f>
        <v>91088</v>
      </c>
      <c r="F13" s="454"/>
      <c r="G13" s="382">
        <v>180443</v>
      </c>
      <c r="H13" s="456"/>
      <c r="I13" s="382">
        <f>E13-G13</f>
        <v>-89355</v>
      </c>
      <c r="K13" s="455"/>
      <c r="L13" s="410"/>
      <c r="M13" s="455"/>
      <c r="N13" s="410"/>
      <c r="O13" s="455"/>
      <c r="P13" s="455"/>
      <c r="Q13" s="455"/>
      <c r="R13" s="455"/>
      <c r="S13" s="455"/>
      <c r="T13" s="455"/>
    </row>
    <row r="14" spans="1:20" s="453" customFormat="1" ht="9.9499999999999993" customHeight="1">
      <c r="E14" s="382"/>
      <c r="F14" s="454"/>
      <c r="G14" s="382"/>
      <c r="H14" s="456"/>
      <c r="I14" s="382"/>
      <c r="K14" s="455"/>
      <c r="L14" s="410"/>
      <c r="M14" s="455"/>
      <c r="N14" s="410"/>
      <c r="O14" s="455"/>
      <c r="P14" s="455"/>
      <c r="Q14" s="455"/>
      <c r="R14" s="455"/>
      <c r="S14" s="455"/>
      <c r="T14" s="455"/>
    </row>
    <row r="15" spans="1:20" s="453" customFormat="1" ht="11.25">
      <c r="A15" s="457" t="s">
        <v>412</v>
      </c>
      <c r="B15" s="457"/>
      <c r="E15" s="382"/>
      <c r="F15" s="454"/>
      <c r="G15" s="382"/>
      <c r="H15" s="456"/>
      <c r="I15" s="382"/>
      <c r="K15" s="455"/>
      <c r="L15" s="410"/>
      <c r="M15" s="455"/>
      <c r="N15" s="410"/>
      <c r="O15" s="455"/>
      <c r="P15" s="455"/>
      <c r="Q15" s="455"/>
      <c r="R15" s="455"/>
      <c r="S15" s="455"/>
      <c r="T15" s="455"/>
    </row>
    <row r="16" spans="1:20" s="453" customFormat="1" ht="11.25">
      <c r="A16" s="416" t="s">
        <v>438</v>
      </c>
      <c r="B16" s="458"/>
      <c r="E16" s="382"/>
      <c r="F16" s="454"/>
      <c r="G16" s="382"/>
      <c r="H16" s="456"/>
      <c r="I16" s="382"/>
      <c r="K16" s="455"/>
      <c r="L16" s="410"/>
      <c r="M16" s="455"/>
      <c r="N16" s="410"/>
      <c r="O16" s="455"/>
      <c r="P16" s="455"/>
      <c r="Q16" s="455"/>
      <c r="R16" s="455"/>
      <c r="S16" s="455"/>
      <c r="T16" s="455"/>
    </row>
    <row r="17" spans="1:20" s="453" customFormat="1" ht="11.25">
      <c r="A17" s="430" t="s">
        <v>403</v>
      </c>
      <c r="B17" s="458"/>
      <c r="E17" s="382" t="e">
        <f>'Cash Flow '!#REF!</f>
        <v>#REF!</v>
      </c>
      <c r="F17" s="454"/>
      <c r="G17" s="382">
        <v>-2229</v>
      </c>
      <c r="H17" s="456"/>
      <c r="I17" s="382" t="e">
        <f>E17-G17</f>
        <v>#REF!</v>
      </c>
      <c r="K17" s="455"/>
      <c r="L17" s="410"/>
      <c r="M17" s="455"/>
      <c r="N17" s="410"/>
      <c r="O17" s="455"/>
      <c r="P17" s="455"/>
      <c r="Q17" s="455"/>
      <c r="R17" s="455"/>
      <c r="S17" s="455"/>
      <c r="T17" s="455"/>
    </row>
    <row r="18" spans="1:20" s="453" customFormat="1" ht="11.25">
      <c r="A18" s="458" t="s">
        <v>415</v>
      </c>
      <c r="B18" s="458"/>
      <c r="E18" s="382" t="e">
        <f>-IS!#REF!</f>
        <v>#REF!</v>
      </c>
      <c r="F18" s="454"/>
      <c r="G18" s="382">
        <v>0</v>
      </c>
      <c r="H18" s="456"/>
      <c r="I18" s="382" t="e">
        <f>-IS!#REF!</f>
        <v>#REF!</v>
      </c>
      <c r="K18" s="455"/>
      <c r="L18" s="410"/>
      <c r="M18" s="455"/>
      <c r="N18" s="410"/>
      <c r="O18" s="455"/>
      <c r="P18" s="455"/>
      <c r="Q18" s="455"/>
      <c r="R18" s="455"/>
      <c r="S18" s="455"/>
      <c r="T18" s="455"/>
    </row>
    <row r="19" spans="1:20" s="453" customFormat="1" ht="11.25">
      <c r="A19" s="458" t="s">
        <v>96</v>
      </c>
      <c r="B19" s="458"/>
      <c r="E19" s="382">
        <f>-IS!E10</f>
        <v>-91966</v>
      </c>
      <c r="F19" s="454"/>
      <c r="G19" s="382">
        <v>-57361</v>
      </c>
      <c r="H19" s="456"/>
      <c r="I19" s="382">
        <f>E19-G19</f>
        <v>-34605</v>
      </c>
      <c r="K19" s="455"/>
      <c r="L19" s="410"/>
      <c r="M19" s="455"/>
      <c r="N19" s="410"/>
      <c r="O19" s="455"/>
      <c r="P19" s="455"/>
      <c r="Q19" s="455"/>
      <c r="R19" s="455"/>
      <c r="S19" s="455"/>
      <c r="T19" s="455"/>
    </row>
    <row r="20" spans="1:20" s="453" customFormat="1" ht="11.25">
      <c r="A20" s="458" t="s">
        <v>259</v>
      </c>
      <c r="B20" s="458"/>
      <c r="E20" s="382" t="e">
        <f>'Cash Flow '!#REF!</f>
        <v>#REF!</v>
      </c>
      <c r="F20" s="454"/>
      <c r="G20" s="382">
        <v>-4061</v>
      </c>
      <c r="H20" s="456"/>
      <c r="I20" s="382" t="e">
        <f>E20-G20</f>
        <v>#REF!</v>
      </c>
      <c r="K20" s="472"/>
      <c r="L20" s="410"/>
      <c r="M20" s="455"/>
      <c r="N20" s="410"/>
      <c r="O20" s="472"/>
      <c r="P20" s="455"/>
      <c r="Q20" s="455"/>
      <c r="R20" s="455"/>
      <c r="S20" s="455"/>
      <c r="T20" s="455"/>
    </row>
    <row r="21" spans="1:20" s="453" customFormat="1" ht="11.25">
      <c r="A21" s="458" t="s">
        <v>401</v>
      </c>
      <c r="B21" s="458"/>
      <c r="E21" s="382"/>
      <c r="F21" s="454"/>
      <c r="G21" s="382"/>
      <c r="H21" s="456"/>
      <c r="I21" s="382"/>
      <c r="K21" s="472"/>
      <c r="L21" s="410"/>
      <c r="M21" s="455"/>
      <c r="N21" s="410"/>
      <c r="O21" s="455"/>
      <c r="P21" s="472"/>
      <c r="Q21" s="455"/>
      <c r="R21" s="455"/>
      <c r="S21" s="455"/>
      <c r="T21" s="455"/>
    </row>
    <row r="22" spans="1:20" s="453" customFormat="1" ht="11.25">
      <c r="A22" s="460" t="s">
        <v>402</v>
      </c>
      <c r="B22" s="458"/>
      <c r="E22" s="382">
        <f>'Cash Flow '!F16</f>
        <v>7137</v>
      </c>
      <c r="F22" s="454"/>
      <c r="G22" s="382">
        <v>0</v>
      </c>
      <c r="H22" s="456"/>
      <c r="I22" s="382">
        <f>E22-G22</f>
        <v>7137</v>
      </c>
      <c r="K22" s="455"/>
      <c r="L22" s="410"/>
      <c r="M22" s="455"/>
      <c r="N22" s="410"/>
      <c r="O22" s="455"/>
      <c r="P22" s="455"/>
      <c r="Q22" s="455"/>
      <c r="R22" s="472"/>
      <c r="S22" s="455"/>
      <c r="T22" s="455"/>
    </row>
    <row r="23" spans="1:20" s="453" customFormat="1" ht="11.25">
      <c r="A23" s="459" t="s">
        <v>404</v>
      </c>
      <c r="B23" s="458"/>
      <c r="E23" s="382"/>
      <c r="F23" s="454"/>
      <c r="G23" s="382"/>
      <c r="H23" s="456"/>
      <c r="I23" s="382"/>
      <c r="K23" s="455"/>
      <c r="L23" s="410"/>
      <c r="M23" s="455"/>
      <c r="N23" s="410"/>
      <c r="O23" s="455"/>
      <c r="P23" s="455"/>
      <c r="Q23" s="455"/>
      <c r="R23" s="455"/>
      <c r="S23" s="455"/>
      <c r="T23" s="455"/>
    </row>
    <row r="24" spans="1:20" s="453" customFormat="1" ht="11.25">
      <c r="A24" s="460" t="s">
        <v>405</v>
      </c>
      <c r="B24" s="460"/>
      <c r="E24" s="410">
        <f>'Cash Flow '!F18</f>
        <v>0</v>
      </c>
      <c r="F24" s="454"/>
      <c r="G24" s="410" t="e">
        <f>#REF!</f>
        <v>#REF!</v>
      </c>
      <c r="H24" s="456"/>
      <c r="I24" s="410" t="e">
        <f>E24-G24</f>
        <v>#REF!</v>
      </c>
      <c r="K24" s="472"/>
      <c r="L24" s="410"/>
      <c r="M24" s="455"/>
      <c r="N24" s="410"/>
      <c r="O24" s="455"/>
      <c r="P24" s="455"/>
      <c r="Q24" s="472"/>
      <c r="R24" s="455"/>
      <c r="S24" s="455"/>
      <c r="T24" s="455"/>
    </row>
    <row r="25" spans="1:20" s="453" customFormat="1" ht="11.25">
      <c r="A25" s="460" t="s">
        <v>463</v>
      </c>
      <c r="B25" s="460"/>
      <c r="E25" s="410">
        <f>'Cash Flow '!F19</f>
        <v>0</v>
      </c>
      <c r="F25" s="454"/>
      <c r="G25" s="412" t="e">
        <f>#REF!</f>
        <v>#REF!</v>
      </c>
      <c r="H25" s="456"/>
      <c r="I25" s="412" t="e">
        <f>E25-G25</f>
        <v>#REF!</v>
      </c>
      <c r="K25" s="472"/>
      <c r="L25" s="410"/>
      <c r="M25" s="455"/>
      <c r="N25" s="410"/>
      <c r="O25" s="455"/>
      <c r="P25" s="455"/>
      <c r="Q25" s="472"/>
      <c r="R25" s="455"/>
      <c r="S25" s="455"/>
      <c r="T25" s="455"/>
    </row>
    <row r="26" spans="1:20" s="453" customFormat="1" ht="11.25">
      <c r="E26" s="413" t="e">
        <f>SUM(E13:E25)</f>
        <v>#REF!</v>
      </c>
      <c r="F26" s="454"/>
      <c r="G26" s="413" t="e">
        <f>SUM(G13:G25)</f>
        <v>#REF!</v>
      </c>
      <c r="H26" s="456"/>
      <c r="I26" s="413" t="e">
        <f>SUM(I13:I25)</f>
        <v>#REF!</v>
      </c>
      <c r="K26" s="472"/>
      <c r="L26" s="410"/>
      <c r="M26" s="455"/>
      <c r="N26" s="410"/>
      <c r="O26" s="472"/>
      <c r="P26" s="455"/>
      <c r="Q26" s="455"/>
      <c r="R26" s="455"/>
      <c r="S26" s="455"/>
      <c r="T26" s="455"/>
    </row>
    <row r="27" spans="1:20" s="453" customFormat="1" ht="11.25">
      <c r="A27" s="461" t="s">
        <v>283</v>
      </c>
      <c r="B27" s="457"/>
      <c r="E27" s="382"/>
      <c r="F27" s="454"/>
      <c r="G27" s="382"/>
      <c r="H27" s="456"/>
      <c r="I27" s="382"/>
      <c r="K27" s="455"/>
      <c r="L27" s="410"/>
      <c r="M27" s="455"/>
      <c r="N27" s="410"/>
      <c r="O27" s="455"/>
      <c r="P27" s="455"/>
      <c r="Q27" s="455"/>
      <c r="R27" s="455"/>
      <c r="S27" s="455"/>
      <c r="T27" s="455"/>
    </row>
    <row r="28" spans="1:20" s="453" customFormat="1" ht="11.25">
      <c r="A28" s="458" t="s">
        <v>239</v>
      </c>
      <c r="E28" s="405">
        <f>'Cash Flow '!F22</f>
        <v>-512682</v>
      </c>
      <c r="F28" s="454"/>
      <c r="G28" s="405">
        <v>80770</v>
      </c>
      <c r="H28" s="456"/>
      <c r="I28" s="405">
        <f>E28-G28</f>
        <v>-593452</v>
      </c>
      <c r="K28" s="455"/>
      <c r="L28" s="410"/>
      <c r="M28" s="455"/>
      <c r="N28" s="410"/>
      <c r="O28" s="455"/>
      <c r="P28" s="472"/>
      <c r="Q28" s="455"/>
      <c r="R28" s="455"/>
      <c r="S28" s="455"/>
      <c r="T28" s="455"/>
    </row>
    <row r="29" spans="1:20" s="453" customFormat="1" ht="11.25">
      <c r="A29" s="458" t="s">
        <v>393</v>
      </c>
      <c r="E29" s="408">
        <f>'Cash Flow '!F25</f>
        <v>0</v>
      </c>
      <c r="F29" s="454"/>
      <c r="G29" s="408">
        <v>0</v>
      </c>
      <c r="H29" s="456"/>
      <c r="I29" s="408">
        <f>E29-G29</f>
        <v>0</v>
      </c>
      <c r="K29" s="455"/>
      <c r="L29" s="410"/>
      <c r="M29" s="455"/>
      <c r="N29" s="410"/>
      <c r="O29" s="455"/>
      <c r="P29" s="455"/>
      <c r="Q29" s="455"/>
      <c r="R29" s="455"/>
      <c r="S29" s="455"/>
      <c r="T29" s="455"/>
    </row>
    <row r="30" spans="1:20" s="453" customFormat="1" ht="11.25">
      <c r="A30" s="458"/>
      <c r="E30" s="410">
        <f>SUM(E28:E29)</f>
        <v>-512682</v>
      </c>
      <c r="F30" s="454"/>
      <c r="G30" s="410">
        <f>SUM(G28:G29)</f>
        <v>80770</v>
      </c>
      <c r="H30" s="456"/>
      <c r="I30" s="410">
        <f>SUM(I28:I29)</f>
        <v>-593452</v>
      </c>
      <c r="K30" s="455"/>
      <c r="L30" s="410"/>
      <c r="M30" s="455"/>
      <c r="N30" s="410"/>
      <c r="O30" s="472"/>
      <c r="P30" s="455"/>
      <c r="Q30" s="455"/>
      <c r="R30" s="455"/>
      <c r="S30" s="455"/>
      <c r="T30" s="455"/>
    </row>
    <row r="31" spans="1:20" s="453" customFormat="1" ht="11.25">
      <c r="A31" s="462" t="s">
        <v>36</v>
      </c>
      <c r="B31" s="457"/>
      <c r="E31" s="382"/>
      <c r="F31" s="454"/>
      <c r="G31" s="382"/>
      <c r="H31" s="456"/>
      <c r="I31" s="382"/>
      <c r="K31" s="455"/>
      <c r="L31" s="410"/>
      <c r="M31" s="455"/>
      <c r="N31" s="410"/>
      <c r="O31" s="455"/>
      <c r="P31" s="455"/>
      <c r="Q31" s="455"/>
      <c r="R31" s="455"/>
      <c r="S31" s="455"/>
      <c r="T31" s="455"/>
    </row>
    <row r="32" spans="1:20" s="453" customFormat="1" ht="11.25">
      <c r="A32" s="458" t="s">
        <v>406</v>
      </c>
      <c r="E32" s="405"/>
      <c r="F32" s="463"/>
      <c r="G32" s="405"/>
      <c r="H32" s="456"/>
      <c r="I32" s="405"/>
      <c r="J32" s="455"/>
      <c r="K32" s="455"/>
      <c r="L32" s="410"/>
      <c r="M32" s="455"/>
      <c r="N32" s="410"/>
      <c r="O32" s="455"/>
      <c r="P32" s="455"/>
      <c r="Q32" s="455"/>
      <c r="R32" s="455"/>
      <c r="S32" s="455"/>
      <c r="T32" s="455"/>
    </row>
    <row r="33" spans="1:20" s="453" customFormat="1" ht="11.25">
      <c r="A33" s="460" t="s">
        <v>86</v>
      </c>
      <c r="E33" s="406">
        <f>'Cash Flow '!F29</f>
        <v>-15</v>
      </c>
      <c r="F33" s="463"/>
      <c r="G33" s="406">
        <v>15</v>
      </c>
      <c r="H33" s="456"/>
      <c r="I33" s="406">
        <f>E33-G33</f>
        <v>-30</v>
      </c>
      <c r="J33" s="455"/>
      <c r="K33" s="455"/>
      <c r="L33" s="410"/>
      <c r="M33" s="455"/>
      <c r="N33" s="410"/>
      <c r="O33" s="455"/>
      <c r="P33" s="455"/>
      <c r="Q33" s="455"/>
      <c r="R33" s="455"/>
      <c r="S33" s="455"/>
      <c r="T33" s="455"/>
    </row>
    <row r="34" spans="1:20" s="453" customFormat="1" ht="11.25">
      <c r="A34" s="458" t="s">
        <v>407</v>
      </c>
      <c r="E34" s="406"/>
      <c r="F34" s="463"/>
      <c r="G34" s="406"/>
      <c r="H34" s="456"/>
      <c r="I34" s="406"/>
      <c r="J34" s="455"/>
      <c r="K34" s="455"/>
      <c r="L34" s="410"/>
      <c r="M34" s="455"/>
      <c r="N34" s="410"/>
      <c r="O34" s="455"/>
      <c r="P34" s="455"/>
      <c r="Q34" s="455"/>
      <c r="R34" s="455"/>
      <c r="S34" s="455"/>
      <c r="T34" s="455"/>
    </row>
    <row r="35" spans="1:20" s="453" customFormat="1" ht="11.25">
      <c r="A35" s="460" t="s">
        <v>408</v>
      </c>
      <c r="E35" s="406">
        <f>'Cash Flow '!F30</f>
        <v>-5752</v>
      </c>
      <c r="F35" s="463"/>
      <c r="G35" s="406">
        <v>-3841</v>
      </c>
      <c r="H35" s="456"/>
      <c r="I35" s="406">
        <f>E35-G35</f>
        <v>-1911</v>
      </c>
      <c r="J35" s="455"/>
      <c r="K35" s="455"/>
      <c r="L35" s="410"/>
      <c r="M35" s="455"/>
      <c r="N35" s="410"/>
      <c r="O35" s="455"/>
      <c r="P35" s="455"/>
      <c r="Q35" s="455"/>
      <c r="R35" s="455"/>
      <c r="S35" s="455"/>
      <c r="T35" s="455"/>
    </row>
    <row r="36" spans="1:20" s="453" customFormat="1" ht="11.25">
      <c r="A36" s="458" t="s">
        <v>388</v>
      </c>
      <c r="E36" s="406">
        <f>'Cash Flow '!F31</f>
        <v>-41777</v>
      </c>
      <c r="F36" s="463"/>
      <c r="G36" s="406">
        <v>-30578</v>
      </c>
      <c r="H36" s="456"/>
      <c r="I36" s="406">
        <f>E36-G36</f>
        <v>-11199</v>
      </c>
      <c r="J36" s="455"/>
      <c r="K36" s="455"/>
      <c r="L36" s="410"/>
      <c r="M36" s="455"/>
      <c r="N36" s="410"/>
      <c r="O36" s="455"/>
      <c r="P36" s="455"/>
      <c r="Q36" s="455"/>
      <c r="R36" s="455"/>
      <c r="S36" s="455"/>
      <c r="T36" s="455"/>
    </row>
    <row r="37" spans="1:20" s="453" customFormat="1" ht="11.25">
      <c r="A37" s="458" t="s">
        <v>385</v>
      </c>
      <c r="E37" s="406">
        <f>'Cash Flow '!F32</f>
        <v>6654</v>
      </c>
      <c r="F37" s="463"/>
      <c r="G37" s="406">
        <v>0</v>
      </c>
      <c r="H37" s="456"/>
      <c r="I37" s="406">
        <f>E37-G37</f>
        <v>6654</v>
      </c>
      <c r="J37" s="455"/>
      <c r="K37" s="455"/>
      <c r="L37" s="410"/>
      <c r="M37" s="455"/>
      <c r="N37" s="410"/>
      <c r="O37" s="455"/>
      <c r="P37" s="455"/>
      <c r="Q37" s="455"/>
      <c r="R37" s="455"/>
      <c r="S37" s="455"/>
      <c r="T37" s="455"/>
    </row>
    <row r="38" spans="1:20" s="453" customFormat="1" ht="11.25">
      <c r="A38" s="458" t="s">
        <v>246</v>
      </c>
      <c r="E38" s="408" t="e">
        <f>'Cash Flow '!#REF!</f>
        <v>#REF!</v>
      </c>
      <c r="F38" s="463"/>
      <c r="G38" s="408">
        <v>3418</v>
      </c>
      <c r="H38" s="456"/>
      <c r="I38" s="408" t="e">
        <f>E38-G38</f>
        <v>#REF!</v>
      </c>
      <c r="J38" s="455"/>
      <c r="K38" s="455"/>
      <c r="L38" s="410"/>
      <c r="M38" s="455"/>
      <c r="N38" s="410"/>
      <c r="O38" s="455"/>
      <c r="P38" s="455"/>
      <c r="Q38" s="455"/>
      <c r="R38" s="455"/>
      <c r="S38" s="455"/>
      <c r="T38" s="455"/>
    </row>
    <row r="39" spans="1:20" s="453" customFormat="1" ht="11.25">
      <c r="A39" s="420"/>
      <c r="E39" s="410" t="e">
        <f>SUM(E32:E38)</f>
        <v>#REF!</v>
      </c>
      <c r="F39" s="454"/>
      <c r="G39" s="410">
        <f>SUM(G32:G38)</f>
        <v>-30986</v>
      </c>
      <c r="H39" s="456"/>
      <c r="I39" s="410" t="e">
        <f>SUM(I32:I38)</f>
        <v>#REF!</v>
      </c>
      <c r="J39" s="455"/>
      <c r="K39" s="455"/>
      <c r="L39" s="410"/>
      <c r="M39" s="455"/>
      <c r="N39" s="410"/>
      <c r="O39" s="472"/>
      <c r="P39" s="472"/>
      <c r="Q39" s="455"/>
      <c r="R39" s="455"/>
      <c r="S39" s="455"/>
      <c r="T39" s="455"/>
    </row>
    <row r="40" spans="1:20" s="453" customFormat="1" ht="9.9499999999999993" customHeight="1">
      <c r="A40" s="420"/>
      <c r="E40" s="410"/>
      <c r="F40" s="454"/>
      <c r="G40" s="410"/>
      <c r="H40" s="456"/>
      <c r="I40" s="410"/>
      <c r="J40" s="455"/>
      <c r="K40" s="455"/>
      <c r="L40" s="410"/>
      <c r="M40" s="455"/>
      <c r="N40" s="410"/>
      <c r="O40" s="472"/>
      <c r="P40" s="455"/>
      <c r="Q40" s="455"/>
      <c r="R40" s="455"/>
      <c r="S40" s="455"/>
      <c r="T40" s="455"/>
    </row>
    <row r="41" spans="1:20" s="453" customFormat="1" ht="11.25">
      <c r="A41" s="420" t="s">
        <v>364</v>
      </c>
      <c r="E41" s="410" t="e">
        <f>'Cash Flow '!#REF!</f>
        <v>#REF!</v>
      </c>
      <c r="F41" s="454"/>
      <c r="G41" s="410">
        <v>23275</v>
      </c>
      <c r="H41" s="456"/>
      <c r="I41" s="410" t="e">
        <f>E41-G41</f>
        <v>#REF!</v>
      </c>
      <c r="J41" s="455"/>
      <c r="K41" s="472"/>
      <c r="L41" s="410"/>
      <c r="M41" s="455"/>
      <c r="N41" s="410"/>
      <c r="O41" s="455"/>
      <c r="P41" s="455"/>
      <c r="Q41" s="455"/>
      <c r="R41" s="455"/>
      <c r="S41" s="455"/>
      <c r="T41" s="455"/>
    </row>
    <row r="42" spans="1:20" s="453" customFormat="1" ht="11.25">
      <c r="A42" s="420" t="s">
        <v>365</v>
      </c>
      <c r="E42" s="410" t="e">
        <f>'Cash Flow '!#REF!</f>
        <v>#REF!</v>
      </c>
      <c r="F42" s="454"/>
      <c r="G42" s="410">
        <v>4007</v>
      </c>
      <c r="H42" s="456"/>
      <c r="I42" s="410" t="e">
        <f>E42-G42</f>
        <v>#REF!</v>
      </c>
      <c r="J42" s="455"/>
      <c r="K42" s="472"/>
      <c r="L42" s="410"/>
      <c r="M42" s="455"/>
      <c r="N42" s="410"/>
      <c r="O42" s="472"/>
      <c r="P42" s="455"/>
      <c r="Q42" s="455"/>
      <c r="R42" s="455"/>
      <c r="S42" s="455"/>
      <c r="T42" s="455"/>
    </row>
    <row r="43" spans="1:20" s="453" customFormat="1" ht="11.25">
      <c r="A43" s="420" t="s">
        <v>409</v>
      </c>
      <c r="E43" s="410"/>
      <c r="F43" s="454"/>
      <c r="G43" s="410"/>
      <c r="H43" s="456"/>
      <c r="I43" s="410"/>
      <c r="J43" s="455"/>
      <c r="K43" s="455"/>
      <c r="L43" s="410"/>
      <c r="M43" s="455"/>
      <c r="N43" s="410"/>
      <c r="O43" s="455"/>
      <c r="P43" s="472"/>
      <c r="Q43" s="455"/>
      <c r="R43" s="455"/>
      <c r="S43" s="455"/>
      <c r="T43" s="455"/>
    </row>
    <row r="44" spans="1:20" s="453" customFormat="1" ht="11.25">
      <c r="A44" s="458" t="s">
        <v>405</v>
      </c>
      <c r="E44" s="410" t="e">
        <f>'Cash Flow '!#REF!</f>
        <v>#REF!</v>
      </c>
      <c r="F44" s="454"/>
      <c r="G44" s="410">
        <v>-3657</v>
      </c>
      <c r="H44" s="456"/>
      <c r="I44" s="410" t="e">
        <f>E44-G44</f>
        <v>#REF!</v>
      </c>
      <c r="J44" s="455"/>
      <c r="K44" s="455"/>
      <c r="L44" s="410"/>
      <c r="M44" s="455"/>
      <c r="N44" s="410"/>
      <c r="O44" s="455"/>
      <c r="P44" s="455"/>
      <c r="Q44" s="455"/>
      <c r="R44" s="455"/>
      <c r="S44" s="455"/>
      <c r="T44" s="455"/>
    </row>
    <row r="45" spans="1:20" s="453" customFormat="1" ht="11.25">
      <c r="A45" s="418"/>
      <c r="E45" s="410"/>
      <c r="F45" s="454"/>
      <c r="G45" s="410"/>
      <c r="H45" s="456"/>
      <c r="I45" s="410"/>
      <c r="J45" s="455"/>
      <c r="K45" s="455"/>
      <c r="L45" s="410"/>
      <c r="M45" s="455"/>
      <c r="N45" s="410"/>
      <c r="O45" s="455"/>
      <c r="P45" s="455"/>
      <c r="Q45" s="455"/>
      <c r="R45" s="455"/>
      <c r="S45" s="455"/>
      <c r="T45" s="455"/>
    </row>
    <row r="46" spans="1:20" s="453" customFormat="1" ht="11.25">
      <c r="A46" s="457" t="s">
        <v>395</v>
      </c>
      <c r="B46" s="457"/>
      <c r="E46" s="413" t="e">
        <f>E39+E26+E30+F3+E44+E41+E42</f>
        <v>#REF!</v>
      </c>
      <c r="F46" s="454"/>
      <c r="G46" s="413" t="e">
        <f>G39+G26+G30+H3+G44+G41+G42</f>
        <v>#REF!</v>
      </c>
      <c r="H46" s="414"/>
      <c r="I46" s="413" t="e">
        <f>I39+I26+I30+J3+I44+I41+I42</f>
        <v>#REF!</v>
      </c>
      <c r="J46" s="455"/>
      <c r="K46" s="455"/>
      <c r="L46" s="410"/>
      <c r="M46" s="464"/>
      <c r="N46" s="410"/>
      <c r="O46" s="455"/>
      <c r="P46" s="455"/>
      <c r="Q46" s="455"/>
      <c r="R46" s="455"/>
      <c r="S46" s="455"/>
      <c r="T46" s="455"/>
    </row>
    <row r="47" spans="1:20" s="453" customFormat="1" ht="11.25">
      <c r="E47" s="382"/>
      <c r="F47" s="454"/>
      <c r="G47" s="382"/>
      <c r="H47" s="456"/>
      <c r="I47" s="382"/>
      <c r="J47" s="455"/>
      <c r="K47" s="455"/>
      <c r="L47" s="410"/>
      <c r="M47" s="455"/>
      <c r="N47" s="410"/>
      <c r="O47" s="455"/>
      <c r="P47" s="455"/>
      <c r="Q47" s="455"/>
      <c r="R47" s="455"/>
      <c r="S47" s="455"/>
      <c r="T47" s="455"/>
    </row>
    <row r="48" spans="1:20" s="453" customFormat="1" ht="11.25">
      <c r="A48" s="419" t="s">
        <v>37</v>
      </c>
      <c r="B48" s="419"/>
      <c r="E48" s="382"/>
      <c r="F48" s="454"/>
      <c r="G48" s="382"/>
      <c r="H48" s="456"/>
      <c r="I48" s="382"/>
      <c r="J48" s="455"/>
      <c r="K48" s="455"/>
      <c r="L48" s="410"/>
      <c r="M48" s="455"/>
      <c r="N48" s="410"/>
      <c r="O48" s="455"/>
      <c r="P48" s="455"/>
      <c r="Q48" s="455"/>
      <c r="R48" s="455"/>
      <c r="S48" s="455"/>
      <c r="T48" s="455"/>
    </row>
    <row r="49" spans="1:20" s="453" customFormat="1" ht="9.9499999999999993" customHeight="1">
      <c r="A49" s="419"/>
      <c r="B49" s="419"/>
      <c r="E49" s="382"/>
      <c r="F49" s="454"/>
      <c r="G49" s="382"/>
      <c r="H49" s="456"/>
      <c r="I49" s="382"/>
      <c r="J49" s="455"/>
      <c r="K49" s="455"/>
      <c r="L49" s="410"/>
      <c r="M49" s="455"/>
      <c r="N49" s="410"/>
      <c r="O49" s="455"/>
      <c r="P49" s="455"/>
      <c r="Q49" s="455"/>
      <c r="R49" s="455"/>
      <c r="S49" s="455"/>
      <c r="T49" s="455"/>
    </row>
    <row r="50" spans="1:20" s="453" customFormat="1" ht="11.25">
      <c r="A50" s="453" t="s">
        <v>186</v>
      </c>
      <c r="B50" s="419"/>
      <c r="E50" s="405">
        <f>'Cash Flow '!F40</f>
        <v>0</v>
      </c>
      <c r="F50" s="454"/>
      <c r="G50" s="405">
        <v>-220539</v>
      </c>
      <c r="H50" s="456"/>
      <c r="I50" s="405">
        <f>E50-G50</f>
        <v>220539</v>
      </c>
      <c r="J50" s="456"/>
      <c r="K50" s="455"/>
      <c r="L50" s="410"/>
      <c r="M50" s="455"/>
      <c r="N50" s="410"/>
      <c r="O50" s="455"/>
      <c r="P50" s="455"/>
      <c r="Q50" s="455"/>
      <c r="R50" s="455"/>
      <c r="S50" s="455"/>
      <c r="T50" s="455"/>
    </row>
    <row r="51" spans="1:20" s="453" customFormat="1" ht="11.25">
      <c r="B51" s="419"/>
      <c r="E51" s="408"/>
      <c r="F51" s="454"/>
      <c r="G51" s="408"/>
      <c r="H51" s="456"/>
      <c r="I51" s="408"/>
      <c r="J51" s="456"/>
      <c r="K51" s="455"/>
      <c r="L51" s="410"/>
      <c r="M51" s="455"/>
      <c r="N51" s="410"/>
      <c r="O51" s="455"/>
      <c r="P51" s="455"/>
      <c r="Q51" s="455"/>
      <c r="R51" s="455"/>
      <c r="S51" s="455"/>
      <c r="T51" s="455"/>
    </row>
    <row r="52" spans="1:20" s="453" customFormat="1" ht="9.9499999999999993" customHeight="1">
      <c r="B52" s="419"/>
      <c r="E52" s="410"/>
      <c r="F52" s="454"/>
      <c r="G52" s="410"/>
      <c r="H52" s="456"/>
      <c r="I52" s="410"/>
      <c r="J52" s="455"/>
      <c r="K52" s="455"/>
      <c r="L52" s="410"/>
      <c r="M52" s="455"/>
      <c r="N52" s="410"/>
      <c r="O52" s="455"/>
      <c r="P52" s="455"/>
      <c r="Q52" s="455"/>
      <c r="R52" s="455"/>
      <c r="S52" s="455"/>
      <c r="T52" s="455"/>
    </row>
    <row r="53" spans="1:20" s="453" customFormat="1" ht="11.25">
      <c r="A53" s="419" t="s">
        <v>417</v>
      </c>
      <c r="B53" s="418"/>
      <c r="E53" s="410">
        <f>SUM(E50)</f>
        <v>0</v>
      </c>
      <c r="F53" s="454"/>
      <c r="G53" s="410">
        <f>SUM(G50)</f>
        <v>-220539</v>
      </c>
      <c r="H53" s="456"/>
      <c r="I53" s="410">
        <f>SUM(I50)</f>
        <v>220539</v>
      </c>
      <c r="J53" s="455"/>
      <c r="K53" s="455"/>
      <c r="L53" s="410"/>
      <c r="M53" s="455"/>
      <c r="N53" s="410"/>
      <c r="O53" s="455"/>
      <c r="P53" s="455"/>
      <c r="Q53" s="455"/>
      <c r="R53" s="455"/>
      <c r="S53" s="455"/>
      <c r="T53" s="455"/>
    </row>
    <row r="54" spans="1:20" s="453" customFormat="1" ht="9.9499999999999993" customHeight="1">
      <c r="E54" s="412"/>
      <c r="F54" s="454"/>
      <c r="G54" s="412"/>
      <c r="H54" s="456"/>
      <c r="I54" s="412"/>
      <c r="J54" s="455"/>
      <c r="K54" s="455"/>
      <c r="L54" s="410"/>
      <c r="M54" s="455"/>
      <c r="N54" s="410"/>
      <c r="O54" s="455"/>
      <c r="P54" s="455"/>
      <c r="Q54" s="455"/>
      <c r="R54" s="455"/>
      <c r="S54" s="455"/>
      <c r="T54" s="455"/>
    </row>
    <row r="55" spans="1:20" s="453" customFormat="1" ht="11.25">
      <c r="A55" s="419" t="s">
        <v>396</v>
      </c>
      <c r="B55" s="418"/>
      <c r="E55" s="382" t="e">
        <f>ROUND(E46+E53,0)</f>
        <v>#REF!</v>
      </c>
      <c r="F55" s="454"/>
      <c r="G55" s="382" t="e">
        <f>ROUND(G46+G53,0)</f>
        <v>#REF!</v>
      </c>
      <c r="H55" s="456"/>
      <c r="I55" s="382" t="e">
        <f>ROUND(I46+I53,0)</f>
        <v>#REF!</v>
      </c>
      <c r="J55" s="455"/>
      <c r="K55" s="455"/>
      <c r="L55" s="410"/>
      <c r="M55" s="455"/>
      <c r="N55" s="410"/>
      <c r="O55" s="455"/>
      <c r="P55" s="455"/>
      <c r="Q55" s="455"/>
      <c r="R55" s="455"/>
      <c r="S55" s="455"/>
      <c r="T55" s="455"/>
    </row>
    <row r="56" spans="1:20" s="453" customFormat="1" ht="9.9499999999999993" customHeight="1">
      <c r="A56" s="419"/>
      <c r="B56" s="418"/>
      <c r="E56" s="465"/>
      <c r="F56" s="454"/>
      <c r="G56" s="465"/>
      <c r="H56" s="456"/>
      <c r="I56" s="465"/>
      <c r="J56" s="455"/>
      <c r="K56" s="455"/>
      <c r="L56" s="456"/>
      <c r="M56" s="455"/>
      <c r="N56" s="456"/>
      <c r="O56" s="455"/>
      <c r="P56" s="455"/>
      <c r="Q56" s="455"/>
      <c r="R56" s="455"/>
      <c r="S56" s="455"/>
      <c r="T56" s="455"/>
    </row>
    <row r="57" spans="1:20" s="453" customFormat="1" ht="11.25">
      <c r="A57" s="418" t="s">
        <v>38</v>
      </c>
      <c r="B57" s="418"/>
      <c r="E57" s="465">
        <v>94882</v>
      </c>
      <c r="F57" s="454"/>
      <c r="G57" s="465">
        <v>94882</v>
      </c>
      <c r="H57" s="456"/>
      <c r="I57" s="465" t="e">
        <f>G59</f>
        <v>#REF!</v>
      </c>
      <c r="J57" s="455"/>
      <c r="K57" s="455"/>
      <c r="L57" s="456"/>
      <c r="M57" s="455"/>
      <c r="N57" s="456"/>
      <c r="O57" s="455"/>
      <c r="P57" s="455"/>
      <c r="Q57" s="455"/>
      <c r="R57" s="455"/>
      <c r="S57" s="455"/>
      <c r="T57" s="455"/>
    </row>
    <row r="58" spans="1:20" s="453" customFormat="1" ht="9.9499999999999993" customHeight="1">
      <c r="A58" s="418"/>
      <c r="B58" s="418"/>
      <c r="E58" s="465"/>
      <c r="F58" s="418"/>
      <c r="G58" s="465"/>
      <c r="H58" s="456"/>
      <c r="I58" s="465"/>
      <c r="J58" s="455"/>
      <c r="K58" s="455"/>
      <c r="L58" s="456"/>
      <c r="M58" s="455"/>
      <c r="N58" s="456"/>
      <c r="O58" s="455"/>
      <c r="P58" s="455"/>
      <c r="Q58" s="455"/>
      <c r="R58" s="455"/>
      <c r="S58" s="455"/>
      <c r="T58" s="455"/>
    </row>
    <row r="59" spans="1:20" s="453" customFormat="1" thickBot="1">
      <c r="A59" s="419" t="s">
        <v>39</v>
      </c>
      <c r="B59" s="418"/>
      <c r="E59" s="466" t="e">
        <f>E57+E55</f>
        <v>#REF!</v>
      </c>
      <c r="F59" s="467"/>
      <c r="G59" s="466" t="e">
        <f>G57+G55</f>
        <v>#REF!</v>
      </c>
      <c r="H59" s="468"/>
      <c r="I59" s="466" t="e">
        <f>I57+I55</f>
        <v>#REF!</v>
      </c>
      <c r="J59" s="455"/>
      <c r="K59" s="455"/>
      <c r="L59" s="456"/>
      <c r="M59" s="455"/>
      <c r="N59" s="456"/>
      <c r="O59" s="455"/>
      <c r="P59" s="455"/>
      <c r="Q59" s="455"/>
      <c r="R59" s="455"/>
      <c r="S59" s="455"/>
      <c r="T59" s="455"/>
    </row>
    <row r="60" spans="1:20" s="47" customFormat="1" ht="12.75" thickTop="1">
      <c r="E60" s="399"/>
      <c r="F60" s="49"/>
      <c r="G60" s="56"/>
      <c r="H60" s="84"/>
      <c r="I60" s="361"/>
      <c r="J60" s="362"/>
      <c r="K60" s="402"/>
      <c r="L60" s="363"/>
      <c r="M60" s="363"/>
      <c r="N60" s="363"/>
      <c r="O60" s="363"/>
      <c r="P60" s="363"/>
      <c r="Q60" s="363"/>
      <c r="R60" s="363"/>
      <c r="S60" s="363"/>
      <c r="T60" s="363"/>
    </row>
    <row r="61" spans="1:20" s="47" customFormat="1">
      <c r="I61" s="56" t="e">
        <f>E59-I59</f>
        <v>#REF!</v>
      </c>
      <c r="K61" s="363"/>
      <c r="L61" s="363"/>
      <c r="M61" s="363"/>
      <c r="N61" s="402"/>
      <c r="O61" s="363"/>
      <c r="P61" s="363"/>
      <c r="Q61" s="363"/>
      <c r="R61" s="363"/>
      <c r="S61" s="363"/>
      <c r="T61" s="363"/>
    </row>
    <row r="62" spans="1:20" s="47" customFormat="1">
      <c r="A62" s="47" t="str">
        <f>BS!$A$43</f>
        <v>The annexed notes 1 to 12 form an integral part of this condensed interim financial information.</v>
      </c>
      <c r="E62" s="49"/>
      <c r="F62" s="49"/>
      <c r="H62" s="84"/>
      <c r="I62" s="361"/>
      <c r="J62" s="361"/>
      <c r="K62" s="363"/>
      <c r="L62" s="363"/>
      <c r="M62" s="363"/>
      <c r="N62" s="363"/>
      <c r="O62" s="363"/>
      <c r="P62" s="363"/>
      <c r="Q62" s="363"/>
      <c r="R62" s="363"/>
      <c r="S62" s="363"/>
      <c r="T62" s="363"/>
    </row>
    <row r="63" spans="1:20" s="47" customFormat="1" ht="9.9499999999999993" customHeight="1">
      <c r="E63" s="49"/>
      <c r="F63" s="49"/>
      <c r="J63" s="361"/>
      <c r="K63" s="363"/>
      <c r="L63" s="363"/>
      <c r="M63" s="363"/>
      <c r="N63" s="363"/>
      <c r="O63" s="363"/>
      <c r="P63" s="363"/>
      <c r="Q63" s="363"/>
      <c r="R63" s="363"/>
      <c r="S63" s="363"/>
      <c r="T63" s="363"/>
    </row>
    <row r="64" spans="1:20" s="47" customFormat="1" ht="9.9499999999999993" customHeight="1">
      <c r="E64" s="49"/>
      <c r="F64" s="49"/>
      <c r="J64" s="361"/>
      <c r="K64" s="363"/>
      <c r="L64" s="363"/>
      <c r="M64" s="363"/>
      <c r="N64" s="363"/>
      <c r="O64" s="363"/>
      <c r="P64" s="363"/>
      <c r="Q64" s="363"/>
      <c r="R64" s="363"/>
      <c r="S64" s="363"/>
      <c r="T64" s="363"/>
    </row>
    <row r="65" spans="1:20" s="47" customFormat="1">
      <c r="E65" s="49"/>
      <c r="F65" s="49"/>
      <c r="G65" s="56"/>
      <c r="H65" s="84"/>
      <c r="I65" s="361"/>
      <c r="J65" s="361"/>
      <c r="K65" s="363"/>
      <c r="L65" s="363"/>
      <c r="M65" s="363"/>
      <c r="N65" s="363"/>
      <c r="O65" s="363"/>
      <c r="P65" s="363"/>
      <c r="Q65" s="363"/>
      <c r="R65" s="363"/>
      <c r="S65" s="363"/>
      <c r="T65" s="363"/>
    </row>
    <row r="66" spans="1:20" s="47" customFormat="1">
      <c r="A66" s="85" t="s">
        <v>252</v>
      </c>
      <c r="B66" s="85"/>
      <c r="C66" s="85"/>
      <c r="D66" s="85"/>
      <c r="E66" s="85"/>
      <c r="F66" s="85"/>
      <c r="G66" s="85"/>
      <c r="H66" s="86"/>
      <c r="I66" s="434"/>
      <c r="J66" s="435"/>
      <c r="K66" s="363"/>
      <c r="L66" s="363"/>
      <c r="M66" s="363"/>
      <c r="N66" s="363"/>
      <c r="O66" s="363"/>
      <c r="P66" s="363"/>
      <c r="Q66" s="363"/>
      <c r="R66" s="363"/>
      <c r="S66" s="363"/>
      <c r="T66" s="363"/>
    </row>
    <row r="67" spans="1:20" s="47" customFormat="1">
      <c r="A67" s="85" t="s">
        <v>253</v>
      </c>
      <c r="B67" s="85"/>
      <c r="C67" s="85"/>
      <c r="D67" s="85"/>
      <c r="E67" s="85"/>
      <c r="F67" s="85"/>
      <c r="G67" s="85"/>
      <c r="H67" s="86"/>
      <c r="I67" s="436"/>
      <c r="J67" s="435"/>
      <c r="K67" s="363"/>
      <c r="L67" s="363"/>
      <c r="M67" s="363"/>
      <c r="N67" s="363"/>
      <c r="O67" s="363"/>
      <c r="P67" s="363"/>
      <c r="Q67" s="363"/>
      <c r="R67" s="363"/>
      <c r="S67" s="363"/>
      <c r="T67" s="363"/>
    </row>
    <row r="68" spans="1:20" s="47" customFormat="1">
      <c r="A68" s="30"/>
      <c r="B68" s="178"/>
      <c r="C68" s="178"/>
      <c r="D68" s="178"/>
      <c r="E68" s="179"/>
      <c r="F68" s="179"/>
      <c r="G68" s="180"/>
      <c r="H68" s="178"/>
      <c r="I68" s="364"/>
      <c r="J68" s="363"/>
      <c r="K68" s="363"/>
      <c r="L68" s="363"/>
      <c r="M68" s="363"/>
      <c r="N68" s="363"/>
      <c r="O68" s="363"/>
      <c r="P68" s="363"/>
      <c r="Q68" s="363"/>
      <c r="R68" s="363"/>
      <c r="S68" s="363"/>
      <c r="T68" s="363"/>
    </row>
    <row r="69" spans="1:20" s="47" customFormat="1">
      <c r="A69" s="30"/>
      <c r="B69" s="178"/>
      <c r="C69" s="178"/>
      <c r="D69" s="178"/>
      <c r="E69" s="179"/>
      <c r="F69" s="179"/>
      <c r="G69" s="178"/>
      <c r="H69" s="178"/>
      <c r="I69" s="363"/>
      <c r="J69" s="363"/>
      <c r="K69" s="363"/>
      <c r="L69" s="363"/>
      <c r="M69" s="363"/>
      <c r="N69" s="363"/>
      <c r="O69" s="363"/>
      <c r="P69" s="363"/>
      <c r="Q69" s="363"/>
      <c r="R69" s="363"/>
      <c r="S69" s="363"/>
      <c r="T69" s="363"/>
    </row>
    <row r="70" spans="1:20" s="47" customFormat="1">
      <c r="A70" s="30"/>
      <c r="B70" s="59"/>
      <c r="C70" s="59"/>
      <c r="D70" s="59"/>
      <c r="E70" s="59"/>
      <c r="F70" s="59"/>
      <c r="G70" s="59"/>
      <c r="H70" s="178"/>
      <c r="I70" s="363"/>
      <c r="J70" s="363"/>
      <c r="K70" s="363"/>
      <c r="L70" s="363"/>
      <c r="M70" s="363"/>
      <c r="N70" s="363"/>
      <c r="O70" s="363"/>
      <c r="P70" s="363"/>
      <c r="Q70" s="363"/>
      <c r="R70" s="363"/>
      <c r="S70" s="363"/>
      <c r="T70" s="363"/>
    </row>
    <row r="71" spans="1:20" s="47" customFormat="1">
      <c r="A71" s="30" t="s">
        <v>366</v>
      </c>
      <c r="B71" s="59"/>
      <c r="C71" s="59"/>
      <c r="D71" s="59"/>
      <c r="E71" s="59"/>
      <c r="F71" s="59"/>
      <c r="G71" s="59"/>
      <c r="H71" s="178"/>
      <c r="I71" s="363"/>
      <c r="J71" s="363"/>
      <c r="K71" s="363"/>
      <c r="L71" s="363"/>
      <c r="M71" s="363"/>
      <c r="N71" s="363"/>
      <c r="O71" s="363"/>
      <c r="P71" s="363"/>
      <c r="Q71" s="363"/>
      <c r="R71" s="363"/>
      <c r="S71" s="363"/>
      <c r="T71" s="363"/>
    </row>
    <row r="72" spans="1:20" s="47" customFormat="1">
      <c r="A72" s="85"/>
      <c r="B72" s="85"/>
      <c r="C72" s="86"/>
      <c r="D72" s="86"/>
      <c r="E72" s="49"/>
      <c r="F72" s="49"/>
      <c r="G72" s="86"/>
      <c r="K72" s="363"/>
      <c r="L72" s="363"/>
      <c r="M72" s="363"/>
      <c r="N72" s="363"/>
      <c r="O72" s="363"/>
      <c r="P72" s="363"/>
      <c r="Q72" s="363"/>
      <c r="R72" s="363"/>
      <c r="S72" s="363"/>
      <c r="T72" s="363"/>
    </row>
    <row r="73" spans="1:20">
      <c r="E73" s="399" t="e">
        <f>E59-BS!F10</f>
        <v>#REF!</v>
      </c>
      <c r="G73" s="56"/>
      <c r="H73" s="47"/>
      <c r="I73" s="56"/>
      <c r="J73" s="361"/>
      <c r="K73" s="558"/>
      <c r="L73" s="558"/>
      <c r="M73" s="558"/>
      <c r="N73" s="558"/>
      <c r="O73" s="558"/>
      <c r="P73" s="558"/>
      <c r="Q73" s="558"/>
      <c r="R73" s="558"/>
      <c r="S73" s="558"/>
      <c r="T73" s="558"/>
    </row>
    <row r="74" spans="1:20">
      <c r="K74" s="558"/>
      <c r="L74" s="558"/>
      <c r="M74" s="558"/>
      <c r="N74" s="558"/>
      <c r="O74" s="558"/>
      <c r="P74" s="558"/>
      <c r="Q74" s="558"/>
      <c r="R74" s="558"/>
      <c r="S74" s="558"/>
      <c r="T74" s="558"/>
    </row>
    <row r="75" spans="1:20">
      <c r="K75" s="558"/>
      <c r="L75" s="558"/>
      <c r="M75" s="558"/>
      <c r="N75" s="558"/>
      <c r="O75" s="558"/>
      <c r="P75" s="558"/>
      <c r="Q75" s="558"/>
      <c r="R75" s="558"/>
      <c r="S75" s="558"/>
      <c r="T75" s="558"/>
    </row>
    <row r="76" spans="1:20">
      <c r="K76" s="558"/>
      <c r="L76" s="558"/>
      <c r="M76" s="558"/>
      <c r="N76" s="558"/>
      <c r="O76" s="558"/>
      <c r="P76" s="558"/>
      <c r="Q76" s="558"/>
      <c r="R76" s="558"/>
      <c r="S76" s="558"/>
      <c r="T76" s="558"/>
    </row>
    <row r="77" spans="1:20">
      <c r="K77" s="558"/>
      <c r="L77" s="558"/>
      <c r="M77" s="558"/>
      <c r="N77" s="558"/>
      <c r="O77" s="558"/>
      <c r="P77" s="558"/>
      <c r="Q77" s="558"/>
      <c r="R77" s="558"/>
      <c r="S77" s="558"/>
      <c r="T77" s="558"/>
    </row>
    <row r="101" spans="7:14">
      <c r="G101" s="68">
        <f>SUM(G81:G100)</f>
        <v>0</v>
      </c>
      <c r="N101" s="68" t="e">
        <v>#VALUE!</v>
      </c>
    </row>
    <row r="104" spans="7:14">
      <c r="N104" s="68" t="e">
        <v>#VALUE!</v>
      </c>
    </row>
    <row r="135" spans="7:14">
      <c r="G135" s="68">
        <f>SUM(G121:G133)</f>
        <v>0</v>
      </c>
      <c r="N135" s="68" t="e">
        <v>#VALUE!</v>
      </c>
    </row>
    <row r="138" spans="7:14">
      <c r="G138" s="68">
        <f>G135</f>
        <v>0</v>
      </c>
      <c r="N138" s="68" t="e">
        <v>#VALUE!</v>
      </c>
    </row>
  </sheetData>
  <mergeCells count="5">
    <mergeCell ref="E11:J11"/>
    <mergeCell ref="D6:D9"/>
    <mergeCell ref="E6:E9"/>
    <mergeCell ref="G6:G9"/>
    <mergeCell ref="I6:I9"/>
  </mergeCells>
  <conditionalFormatting sqref="G2">
    <cfRule type="cellIs" dxfId="2" priority="1" stopIfTrue="1" operator="notEqual">
      <formula>0</formula>
    </cfRule>
  </conditionalFormatting>
  <printOptions horizontalCentered="1"/>
  <pageMargins left="0.75" right="0.5" top="0.5" bottom="0.25" header="0.5" footer="0.36"/>
  <pageSetup paperSize="9" fitToWidth="12" fitToHeight="12" orientation="portrait" r:id="rId1"/>
  <headerFooter alignWithMargins="0"/>
  <ignoredErrors>
    <ignoredError sqref="I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6"/>
  </sheetPr>
  <dimension ref="A1:N107"/>
  <sheetViews>
    <sheetView view="pageBreakPreview" topLeftCell="A34" zoomScaleSheetLayoutView="100" workbookViewId="0">
      <selection activeCell="A95" sqref="A95"/>
    </sheetView>
  </sheetViews>
  <sheetFormatPr defaultColWidth="10.25" defaultRowHeight="12"/>
  <cols>
    <col min="1" max="1" width="5.125" style="118" customWidth="1"/>
    <col min="2" max="2" width="3.625" style="110" customWidth="1"/>
    <col min="3" max="3" width="39.875" style="110" customWidth="1"/>
    <col min="4" max="4" width="5.625" style="112" customWidth="1"/>
    <col min="5" max="5" width="5.625" style="110" customWidth="1"/>
    <col min="6" max="6" width="12.125" style="110" customWidth="1"/>
    <col min="7" max="7" width="1.625" style="110" customWidth="1"/>
    <col min="8" max="8" width="10.375" style="110" customWidth="1"/>
    <col min="9" max="16384" width="10.25" style="110"/>
  </cols>
  <sheetData>
    <row r="1" spans="1:8">
      <c r="A1" s="107" t="s">
        <v>236</v>
      </c>
      <c r="B1" s="108"/>
      <c r="C1" s="108"/>
      <c r="D1" s="109"/>
    </row>
    <row r="2" spans="1:8">
      <c r="A2" s="94" t="s">
        <v>815</v>
      </c>
      <c r="B2" s="108"/>
      <c r="C2" s="108"/>
      <c r="D2" s="109"/>
    </row>
    <row r="3" spans="1:8">
      <c r="A3" s="400" t="s">
        <v>667</v>
      </c>
      <c r="B3" s="108"/>
      <c r="C3" s="108"/>
      <c r="D3" s="109"/>
    </row>
    <row r="4" spans="1:8" ht="6" customHeight="1">
      <c r="A4" s="400"/>
      <c r="B4" s="108"/>
      <c r="C4" s="108"/>
      <c r="D4" s="109"/>
    </row>
    <row r="5" spans="1:8" ht="12" customHeight="1">
      <c r="A5" s="111">
        <v>1</v>
      </c>
      <c r="B5" s="868" t="s">
        <v>48</v>
      </c>
      <c r="C5" s="868"/>
      <c r="D5" s="481"/>
    </row>
    <row r="6" spans="1:8" ht="12" customHeight="1">
      <c r="A6" s="115"/>
      <c r="D6" s="110"/>
      <c r="H6" s="564"/>
    </row>
    <row r="7" spans="1:8" ht="12" customHeight="1">
      <c r="A7" s="107">
        <v>1.1000000000000001</v>
      </c>
      <c r="B7" s="869" t="s">
        <v>428</v>
      </c>
      <c r="C7" s="869"/>
      <c r="D7" s="869"/>
      <c r="E7" s="869"/>
      <c r="F7" s="869"/>
      <c r="G7" s="869"/>
      <c r="H7" s="869"/>
    </row>
    <row r="8" spans="1:8" ht="12" customHeight="1">
      <c r="A8" s="107"/>
      <c r="B8" s="869"/>
      <c r="C8" s="869"/>
      <c r="D8" s="869"/>
      <c r="E8" s="869"/>
      <c r="F8" s="869"/>
      <c r="G8" s="869"/>
      <c r="H8" s="869"/>
    </row>
    <row r="9" spans="1:8" ht="12" customHeight="1">
      <c r="A9" s="107"/>
      <c r="B9" s="869"/>
      <c r="C9" s="869"/>
      <c r="D9" s="869"/>
      <c r="E9" s="869"/>
      <c r="F9" s="869"/>
      <c r="G9" s="869"/>
      <c r="H9" s="869"/>
    </row>
    <row r="10" spans="1:8" ht="12" customHeight="1">
      <c r="A10" s="107"/>
      <c r="B10" s="869"/>
      <c r="C10" s="869"/>
      <c r="D10" s="869"/>
      <c r="E10" s="869"/>
      <c r="F10" s="869"/>
      <c r="G10" s="869"/>
      <c r="H10" s="869"/>
    </row>
    <row r="11" spans="1:8" ht="12" customHeight="1">
      <c r="A11" s="107"/>
      <c r="B11" s="869"/>
      <c r="C11" s="869"/>
      <c r="D11" s="869"/>
      <c r="E11" s="869"/>
      <c r="F11" s="869"/>
      <c r="G11" s="869"/>
      <c r="H11" s="869"/>
    </row>
    <row r="12" spans="1:8" ht="12" customHeight="1">
      <c r="A12" s="107"/>
      <c r="B12" s="869"/>
      <c r="C12" s="869"/>
      <c r="D12" s="869"/>
      <c r="E12" s="869"/>
      <c r="F12" s="869"/>
      <c r="G12" s="869"/>
      <c r="H12" s="869"/>
    </row>
    <row r="13" spans="1:8" ht="12" customHeight="1">
      <c r="A13" s="107"/>
      <c r="B13" s="563"/>
      <c r="C13" s="563"/>
      <c r="D13" s="563"/>
      <c r="E13" s="563"/>
      <c r="F13" s="563"/>
      <c r="G13" s="563"/>
      <c r="H13" s="563"/>
    </row>
    <row r="14" spans="1:8" ht="12" customHeight="1">
      <c r="A14" s="107">
        <v>1.2</v>
      </c>
      <c r="B14" s="869" t="s">
        <v>498</v>
      </c>
      <c r="C14" s="869"/>
      <c r="D14" s="869"/>
      <c r="E14" s="869"/>
      <c r="F14" s="869"/>
      <c r="G14" s="869"/>
      <c r="H14" s="869"/>
    </row>
    <row r="15" spans="1:8" ht="12" customHeight="1">
      <c r="A15" s="107"/>
      <c r="B15" s="869"/>
      <c r="C15" s="869"/>
      <c r="D15" s="869"/>
      <c r="E15" s="869"/>
      <c r="F15" s="869"/>
      <c r="G15" s="869"/>
      <c r="H15" s="869"/>
    </row>
    <row r="16" spans="1:8" ht="12" customHeight="1">
      <c r="A16" s="107"/>
      <c r="B16" s="869"/>
      <c r="C16" s="869"/>
      <c r="D16" s="869"/>
      <c r="E16" s="869"/>
      <c r="F16" s="869"/>
      <c r="G16" s="869"/>
      <c r="H16" s="869"/>
    </row>
    <row r="17" spans="1:8" ht="12" customHeight="1">
      <c r="A17" s="107"/>
      <c r="B17" s="869"/>
      <c r="C17" s="869"/>
      <c r="D17" s="869"/>
      <c r="E17" s="869"/>
      <c r="F17" s="869"/>
      <c r="G17" s="869"/>
      <c r="H17" s="869"/>
    </row>
    <row r="18" spans="1:8" ht="12" customHeight="1">
      <c r="A18" s="115"/>
      <c r="D18" s="110"/>
      <c r="H18" s="564"/>
    </row>
    <row r="19" spans="1:8" ht="12" customHeight="1">
      <c r="A19" s="107">
        <v>1.3</v>
      </c>
      <c r="B19" s="870" t="s">
        <v>1</v>
      </c>
      <c r="C19" s="870"/>
      <c r="D19" s="870"/>
      <c r="E19" s="870"/>
      <c r="F19" s="870"/>
      <c r="G19" s="870"/>
      <c r="H19" s="870"/>
    </row>
    <row r="20" spans="1:8" ht="12" customHeight="1">
      <c r="A20" s="107"/>
      <c r="B20" s="870"/>
      <c r="C20" s="870"/>
      <c r="D20" s="870"/>
      <c r="E20" s="870"/>
      <c r="F20" s="870"/>
      <c r="G20" s="870"/>
      <c r="H20" s="870"/>
    </row>
    <row r="21" spans="1:8" ht="12" customHeight="1">
      <c r="A21" s="107"/>
      <c r="B21" s="870"/>
      <c r="C21" s="870"/>
      <c r="D21" s="870"/>
      <c r="E21" s="870"/>
      <c r="F21" s="870"/>
      <c r="G21" s="870"/>
      <c r="H21" s="870"/>
    </row>
    <row r="22" spans="1:8" ht="12" customHeight="1">
      <c r="A22" s="115"/>
      <c r="D22" s="110"/>
      <c r="H22" s="564"/>
    </row>
    <row r="23" spans="1:8" ht="12" customHeight="1">
      <c r="A23" s="107"/>
      <c r="B23" s="871" t="s">
        <v>0</v>
      </c>
      <c r="C23" s="871"/>
      <c r="D23" s="871"/>
      <c r="E23" s="871"/>
      <c r="F23" s="871"/>
      <c r="G23" s="871"/>
      <c r="H23" s="871"/>
    </row>
    <row r="24" spans="1:8" ht="12" customHeight="1">
      <c r="A24" s="115"/>
      <c r="D24" s="110"/>
      <c r="H24" s="564"/>
    </row>
    <row r="25" spans="1:8" ht="12" customHeight="1">
      <c r="A25" s="107"/>
      <c r="B25" s="871" t="s">
        <v>371</v>
      </c>
      <c r="C25" s="871"/>
      <c r="D25" s="871"/>
      <c r="E25" s="871"/>
      <c r="F25" s="871"/>
      <c r="G25" s="871"/>
      <c r="H25" s="871"/>
    </row>
    <row r="26" spans="1:8" ht="12" customHeight="1">
      <c r="A26" s="107"/>
      <c r="B26" s="871"/>
      <c r="C26" s="871"/>
      <c r="D26" s="871"/>
      <c r="E26" s="871"/>
      <c r="F26" s="871"/>
      <c r="G26" s="871"/>
      <c r="H26" s="871"/>
    </row>
    <row r="27" spans="1:8" ht="12" customHeight="1">
      <c r="A27" s="107"/>
      <c r="B27" s="871"/>
      <c r="C27" s="871"/>
      <c r="D27" s="871"/>
      <c r="E27" s="871"/>
      <c r="F27" s="871"/>
      <c r="G27" s="871"/>
      <c r="H27" s="871"/>
    </row>
    <row r="28" spans="1:8" ht="12" customHeight="1">
      <c r="A28" s="115"/>
      <c r="D28" s="110"/>
      <c r="H28" s="564"/>
    </row>
    <row r="29" spans="1:8" ht="12" customHeight="1">
      <c r="A29" s="107"/>
      <c r="B29" s="873" t="s">
        <v>312</v>
      </c>
      <c r="C29" s="873"/>
      <c r="D29" s="873"/>
      <c r="E29" s="873"/>
      <c r="F29" s="873"/>
      <c r="G29" s="873"/>
      <c r="H29" s="873"/>
    </row>
    <row r="30" spans="1:8" ht="12" customHeight="1">
      <c r="A30" s="107"/>
      <c r="B30" s="873"/>
      <c r="C30" s="873"/>
      <c r="D30" s="873"/>
      <c r="E30" s="873"/>
      <c r="F30" s="873"/>
      <c r="G30" s="873"/>
      <c r="H30" s="873"/>
    </row>
    <row r="31" spans="1:8" ht="12" customHeight="1">
      <c r="A31" s="115"/>
      <c r="D31" s="110"/>
      <c r="H31" s="564"/>
    </row>
    <row r="32" spans="1:8" ht="12" customHeight="1">
      <c r="A32" s="107">
        <v>1.4</v>
      </c>
      <c r="B32" s="873" t="s">
        <v>465</v>
      </c>
      <c r="C32" s="873"/>
      <c r="D32" s="873"/>
      <c r="E32" s="873"/>
      <c r="F32" s="873"/>
      <c r="G32" s="873"/>
      <c r="H32" s="873"/>
    </row>
    <row r="33" spans="1:14" ht="12" customHeight="1">
      <c r="A33" s="107"/>
      <c r="B33" s="873"/>
      <c r="C33" s="873"/>
      <c r="D33" s="873"/>
      <c r="E33" s="873"/>
      <c r="F33" s="873"/>
      <c r="G33" s="873"/>
      <c r="H33" s="873"/>
    </row>
    <row r="34" spans="1:14" ht="12" customHeight="1">
      <c r="A34" s="115"/>
      <c r="D34" s="110"/>
      <c r="H34" s="564"/>
    </row>
    <row r="35" spans="1:14" ht="12" customHeight="1">
      <c r="A35" s="107">
        <v>1.5</v>
      </c>
      <c r="B35" s="874" t="s">
        <v>674</v>
      </c>
      <c r="C35" s="874"/>
      <c r="D35" s="874"/>
      <c r="E35" s="874"/>
      <c r="F35" s="874"/>
      <c r="G35" s="874"/>
      <c r="H35" s="874"/>
    </row>
    <row r="36" spans="1:14" ht="12" customHeight="1">
      <c r="A36" s="107"/>
      <c r="B36" s="874"/>
      <c r="C36" s="874"/>
      <c r="D36" s="874"/>
      <c r="E36" s="874"/>
      <c r="F36" s="874"/>
      <c r="G36" s="874"/>
      <c r="H36" s="874"/>
    </row>
    <row r="37" spans="1:14" ht="12" customHeight="1">
      <c r="A37" s="107"/>
      <c r="B37" s="874"/>
      <c r="C37" s="874"/>
      <c r="D37" s="874"/>
      <c r="E37" s="874"/>
      <c r="F37" s="874"/>
      <c r="G37" s="874"/>
      <c r="H37" s="874"/>
    </row>
    <row r="38" spans="1:14" ht="12" customHeight="1">
      <c r="A38" s="115"/>
      <c r="B38" s="875"/>
      <c r="C38" s="875"/>
      <c r="D38" s="875"/>
      <c r="E38" s="875"/>
      <c r="F38" s="875"/>
      <c r="G38" s="875"/>
      <c r="H38" s="875"/>
    </row>
    <row r="39" spans="1:14" s="678" customFormat="1" ht="12" customHeight="1">
      <c r="A39" s="115"/>
      <c r="B39" s="720"/>
      <c r="C39" s="720"/>
      <c r="D39" s="720"/>
      <c r="E39" s="720"/>
      <c r="F39" s="720"/>
      <c r="G39" s="720"/>
      <c r="H39" s="720"/>
    </row>
    <row r="40" spans="1:14" s="678" customFormat="1" ht="12" customHeight="1">
      <c r="A40" s="677">
        <v>1.6</v>
      </c>
      <c r="B40" s="876" t="s">
        <v>675</v>
      </c>
      <c r="C40" s="876"/>
      <c r="D40" s="876"/>
      <c r="E40" s="876"/>
      <c r="F40" s="876"/>
      <c r="G40" s="876"/>
      <c r="H40" s="876"/>
    </row>
    <row r="41" spans="1:14" s="678" customFormat="1" ht="12" customHeight="1">
      <c r="A41" s="115"/>
      <c r="B41" s="876"/>
      <c r="C41" s="876"/>
      <c r="D41" s="876"/>
      <c r="E41" s="876"/>
      <c r="F41" s="876"/>
      <c r="G41" s="876"/>
      <c r="H41" s="876"/>
    </row>
    <row r="42" spans="1:14" s="678" customFormat="1" ht="12" customHeight="1">
      <c r="A42" s="115"/>
      <c r="B42" s="759"/>
      <c r="C42" s="759"/>
      <c r="D42" s="759"/>
      <c r="E42" s="759"/>
      <c r="F42" s="759"/>
      <c r="G42" s="759"/>
      <c r="H42" s="759"/>
    </row>
    <row r="43" spans="1:14" ht="12" customHeight="1">
      <c r="A43" s="730">
        <v>2</v>
      </c>
      <c r="B43" s="106" t="s">
        <v>49</v>
      </c>
      <c r="C43" s="731"/>
      <c r="D43" s="731"/>
      <c r="E43" s="731"/>
      <c r="F43" s="731"/>
      <c r="G43" s="731"/>
      <c r="H43" s="731"/>
      <c r="I43" s="633"/>
    </row>
    <row r="44" spans="1:14" ht="12" customHeight="1">
      <c r="A44" s="730"/>
      <c r="B44" s="732"/>
      <c r="C44" s="733"/>
      <c r="D44" s="733"/>
      <c r="E44" s="734"/>
      <c r="F44" s="735"/>
      <c r="G44" s="735"/>
      <c r="H44" s="735"/>
    </row>
    <row r="45" spans="1:14" ht="12" customHeight="1">
      <c r="A45" s="730">
        <v>2.1</v>
      </c>
      <c r="B45" s="736" t="s">
        <v>50</v>
      </c>
      <c r="C45" s="737"/>
      <c r="D45" s="737"/>
      <c r="E45" s="737"/>
      <c r="F45" s="738"/>
      <c r="G45" s="738"/>
      <c r="H45" s="738"/>
      <c r="I45" s="638"/>
      <c r="J45" s="638"/>
      <c r="K45" s="638"/>
      <c r="L45" s="638"/>
      <c r="M45" s="638"/>
      <c r="N45" s="638"/>
    </row>
    <row r="46" spans="1:14" ht="12" customHeight="1">
      <c r="A46" s="730"/>
      <c r="B46" s="739"/>
      <c r="C46" s="737"/>
      <c r="D46" s="737"/>
      <c r="E46" s="737"/>
      <c r="F46" s="738"/>
      <c r="G46" s="738"/>
      <c r="H46" s="738"/>
      <c r="I46" s="638"/>
      <c r="J46" s="638"/>
      <c r="K46" s="638"/>
      <c r="L46" s="638"/>
      <c r="M46" s="638"/>
      <c r="N46" s="638"/>
    </row>
    <row r="47" spans="1:14" ht="12" customHeight="1">
      <c r="A47" s="730" t="s">
        <v>636</v>
      </c>
      <c r="B47" s="872" t="s">
        <v>637</v>
      </c>
      <c r="C47" s="872"/>
      <c r="D47" s="872"/>
      <c r="E47" s="872"/>
      <c r="F47" s="872"/>
      <c r="G47" s="872"/>
      <c r="H47" s="872"/>
      <c r="I47" s="638"/>
      <c r="J47" s="638"/>
      <c r="K47" s="638"/>
      <c r="L47" s="638"/>
      <c r="M47" s="638"/>
      <c r="N47" s="638"/>
    </row>
    <row r="48" spans="1:14" ht="12" customHeight="1">
      <c r="A48" s="730"/>
      <c r="B48" s="872"/>
      <c r="C48" s="872"/>
      <c r="D48" s="872"/>
      <c r="E48" s="872"/>
      <c r="F48" s="872"/>
      <c r="G48" s="872"/>
      <c r="H48" s="872"/>
      <c r="I48" s="638"/>
      <c r="J48" s="638"/>
      <c r="K48" s="638"/>
      <c r="L48" s="638"/>
      <c r="M48" s="638"/>
      <c r="N48" s="638"/>
    </row>
    <row r="49" spans="1:8" ht="12" customHeight="1">
      <c r="A49" s="730" t="s">
        <v>638</v>
      </c>
      <c r="B49" s="740"/>
      <c r="C49" s="741"/>
      <c r="D49" s="741"/>
      <c r="E49" s="741"/>
      <c r="F49" s="741"/>
      <c r="G49" s="741"/>
      <c r="H49" s="741"/>
    </row>
    <row r="50" spans="1:8" ht="12" customHeight="1">
      <c r="A50" s="730" t="s">
        <v>639</v>
      </c>
      <c r="B50" s="872" t="s">
        <v>640</v>
      </c>
      <c r="C50" s="872"/>
      <c r="D50" s="872"/>
      <c r="E50" s="872"/>
      <c r="F50" s="872"/>
      <c r="G50" s="872"/>
      <c r="H50" s="872"/>
    </row>
    <row r="51" spans="1:8" ht="12" customHeight="1">
      <c r="A51" s="730"/>
      <c r="B51" s="872"/>
      <c r="C51" s="872"/>
      <c r="D51" s="872"/>
      <c r="E51" s="872"/>
      <c r="F51" s="872"/>
      <c r="G51" s="872"/>
      <c r="H51" s="872"/>
    </row>
    <row r="52" spans="1:8" ht="12" customHeight="1">
      <c r="A52" s="730"/>
      <c r="B52" s="721"/>
      <c r="C52" s="721"/>
      <c r="D52" s="721"/>
      <c r="E52" s="721"/>
      <c r="F52" s="721"/>
      <c r="G52" s="721"/>
      <c r="H52" s="721"/>
    </row>
    <row r="53" spans="1:8" ht="12" customHeight="1">
      <c r="A53" s="730" t="s">
        <v>641</v>
      </c>
      <c r="B53" s="872" t="s">
        <v>642</v>
      </c>
      <c r="C53" s="872"/>
      <c r="D53" s="872"/>
      <c r="E53" s="872"/>
      <c r="F53" s="872"/>
      <c r="G53" s="872"/>
      <c r="H53" s="872"/>
    </row>
    <row r="54" spans="1:8" ht="12" customHeight="1">
      <c r="A54" s="742"/>
      <c r="B54" s="872"/>
      <c r="C54" s="872"/>
      <c r="D54" s="872"/>
      <c r="E54" s="872"/>
      <c r="F54" s="872"/>
      <c r="G54" s="872"/>
      <c r="H54" s="872"/>
    </row>
    <row r="55" spans="1:8" ht="12" customHeight="1"/>
    <row r="56" spans="1:8" ht="12" customHeight="1">
      <c r="A56" s="521"/>
      <c r="B56" s="489"/>
      <c r="C56" s="487"/>
      <c r="D56" s="634"/>
      <c r="E56" s="661"/>
      <c r="F56" s="717" t="s">
        <v>645</v>
      </c>
      <c r="G56" s="715"/>
      <c r="H56" s="717" t="s">
        <v>646</v>
      </c>
    </row>
    <row r="57" spans="1:8" ht="12" customHeight="1">
      <c r="A57" s="522">
        <v>3</v>
      </c>
      <c r="B57" s="497" t="s">
        <v>53</v>
      </c>
      <c r="C57" s="492"/>
      <c r="D57" s="495"/>
      <c r="E57" s="181"/>
      <c r="F57" s="718" t="s">
        <v>271</v>
      </c>
      <c r="G57" s="715"/>
      <c r="H57" s="718" t="s">
        <v>181</v>
      </c>
    </row>
    <row r="58" spans="1:8" ht="12" customHeight="1">
      <c r="A58" s="508"/>
      <c r="B58" s="497"/>
      <c r="C58" s="492"/>
      <c r="D58" s="496"/>
      <c r="E58" s="635"/>
      <c r="F58" s="867" t="s">
        <v>179</v>
      </c>
      <c r="G58" s="867"/>
      <c r="H58" s="867"/>
    </row>
    <row r="59" spans="1:8" s="678" customFormat="1" ht="12" customHeight="1">
      <c r="A59" s="508"/>
      <c r="B59" s="498" t="s">
        <v>643</v>
      </c>
      <c r="C59" s="492"/>
      <c r="D59" s="496"/>
      <c r="E59" s="635"/>
      <c r="F59" s="722"/>
      <c r="G59" s="723"/>
      <c r="H59" s="723"/>
    </row>
    <row r="60" spans="1:8" s="678" customFormat="1" ht="12" customHeight="1">
      <c r="A60" s="508"/>
      <c r="B60" s="743" t="s">
        <v>644</v>
      </c>
      <c r="C60" s="492"/>
      <c r="D60" s="496"/>
      <c r="E60" s="635"/>
      <c r="F60" s="610">
        <v>77408</v>
      </c>
      <c r="G60" s="723"/>
      <c r="H60" s="610">
        <v>130754</v>
      </c>
    </row>
    <row r="61" spans="1:8" s="678" customFormat="1" ht="12" customHeight="1">
      <c r="A61" s="508"/>
      <c r="B61" s="497"/>
      <c r="C61" s="492"/>
      <c r="D61" s="496"/>
      <c r="E61" s="635"/>
      <c r="F61" s="744"/>
      <c r="G61" s="723"/>
      <c r="H61" s="744"/>
    </row>
    <row r="62" spans="1:8" ht="12" customHeight="1">
      <c r="A62" s="509"/>
      <c r="B62" s="498" t="s">
        <v>67</v>
      </c>
      <c r="C62" s="492"/>
      <c r="D62" s="496"/>
      <c r="E62" s="599"/>
      <c r="F62" s="610"/>
      <c r="G62" s="599"/>
      <c r="H62" s="610"/>
    </row>
    <row r="63" spans="1:8" ht="12" customHeight="1">
      <c r="B63" s="491" t="s">
        <v>644</v>
      </c>
      <c r="D63" s="596"/>
      <c r="E63" s="636"/>
      <c r="F63" s="696">
        <v>6758392</v>
      </c>
      <c r="G63" s="636">
        <v>5821725</v>
      </c>
      <c r="H63" s="696">
        <v>7597649</v>
      </c>
    </row>
    <row r="64" spans="1:8" ht="12" customHeight="1">
      <c r="B64" s="491" t="s">
        <v>504</v>
      </c>
      <c r="D64" s="597"/>
      <c r="E64" s="637"/>
      <c r="F64" s="610">
        <v>597659</v>
      </c>
      <c r="G64" s="637">
        <v>1495424</v>
      </c>
      <c r="H64" s="610">
        <v>0</v>
      </c>
    </row>
    <row r="65" spans="4:8" ht="12" customHeight="1" thickBot="1">
      <c r="D65" s="110"/>
      <c r="E65" s="640"/>
      <c r="F65" s="660">
        <v>7433459</v>
      </c>
      <c r="G65" s="640">
        <v>7317149</v>
      </c>
      <c r="H65" s="660">
        <v>7728403</v>
      </c>
    </row>
    <row r="66" spans="4:8" ht="12" customHeight="1" thickTop="1"/>
    <row r="67" spans="4:8" ht="12" customHeight="1"/>
    <row r="68" spans="4:8" ht="12" customHeight="1"/>
    <row r="69" spans="4:8" ht="12" customHeight="1"/>
    <row r="70" spans="4:8" ht="12" customHeight="1"/>
    <row r="71" spans="4:8" ht="12" customHeight="1"/>
    <row r="72" spans="4:8" ht="12" customHeight="1"/>
    <row r="73" spans="4:8" ht="12" customHeight="1"/>
    <row r="74" spans="4:8" ht="12" customHeight="1"/>
    <row r="75" spans="4:8" ht="12" customHeight="1"/>
    <row r="76" spans="4:8" ht="12" customHeight="1"/>
    <row r="77" spans="4:8" ht="12" customHeight="1"/>
    <row r="78" spans="4:8" ht="12" customHeight="1"/>
    <row r="79" spans="4:8" ht="12" customHeight="1"/>
    <row r="80" spans="4: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sheetData>
  <mergeCells count="14">
    <mergeCell ref="F58:H58"/>
    <mergeCell ref="B5:C5"/>
    <mergeCell ref="B7:H12"/>
    <mergeCell ref="B19:H21"/>
    <mergeCell ref="B25:H27"/>
    <mergeCell ref="B23:H23"/>
    <mergeCell ref="B14:H17"/>
    <mergeCell ref="B47:H48"/>
    <mergeCell ref="B50:H51"/>
    <mergeCell ref="B53:H54"/>
    <mergeCell ref="B32:H33"/>
    <mergeCell ref="B29:H30"/>
    <mergeCell ref="B35:H38"/>
    <mergeCell ref="B40:H41"/>
  </mergeCells>
  <phoneticPr fontId="71" type="noConversion"/>
  <printOptions horizontalCentered="1"/>
  <pageMargins left="0.75" right="0.5" top="0.5" bottom="0.25" header="0.5" footer="0.27"/>
  <pageSetup paperSize="9" fitToWidth="12" fitToHeight="12" orientation="portrait" r:id="rId1"/>
  <headerFooter alignWithMargins="0">
    <oddFooter>&amp;C7 of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Title</vt:lpstr>
      <vt:lpstr>BS</vt:lpstr>
      <vt:lpstr>IS</vt:lpstr>
      <vt:lpstr>COI</vt:lpstr>
      <vt:lpstr>Distribution </vt:lpstr>
      <vt:lpstr>UHF</vt:lpstr>
      <vt:lpstr>Cash Flow </vt:lpstr>
      <vt:lpstr>CF Q working</vt:lpstr>
      <vt:lpstr>1</vt:lpstr>
      <vt:lpstr>Sheet2</vt:lpstr>
      <vt:lpstr>Sheet4</vt:lpstr>
      <vt:lpstr>2</vt:lpstr>
      <vt:lpstr>3</vt:lpstr>
      <vt:lpstr>4</vt:lpstr>
      <vt:lpstr>Notes 3.10-4.3</vt:lpstr>
      <vt:lpstr>Notes 5-11</vt:lpstr>
      <vt:lpstr>working for investmenst note</vt:lpstr>
      <vt:lpstr>RP Q working</vt:lpstr>
      <vt:lpstr>Distribution Q working</vt:lpstr>
      <vt:lpstr>UHF Q working</vt:lpstr>
      <vt:lpstr>adjustments</vt:lpstr>
      <vt:lpstr>working for rp</vt:lpstr>
      <vt:lpstr>Cash Flow</vt:lpstr>
      <vt:lpstr>investment note</vt:lpstr>
      <vt:lpstr>'1'!Print_Area</vt:lpstr>
      <vt:lpstr>'2'!Print_Area</vt:lpstr>
      <vt:lpstr>'3'!Print_Area</vt:lpstr>
      <vt:lpstr>'4'!Print_Area</vt:lpstr>
      <vt:lpstr>adjustments!Print_Area</vt:lpstr>
      <vt:lpstr>BS!Print_Area</vt:lpstr>
      <vt:lpstr>'Cash Flow'!Print_Area</vt:lpstr>
      <vt:lpstr>'Cash Flow '!Print_Area</vt:lpstr>
      <vt:lpstr>'CF Q working'!Print_Area</vt:lpstr>
      <vt:lpstr>COI!Print_Area</vt:lpstr>
      <vt:lpstr>'Distribution '!Print_Area</vt:lpstr>
      <vt:lpstr>'Distribution Q working'!Print_Area</vt:lpstr>
      <vt:lpstr>'investment note'!Print_Area</vt:lpstr>
      <vt:lpstr>IS!Print_Area</vt:lpstr>
      <vt:lpstr>'Notes 3.10-4.3'!Print_Area</vt:lpstr>
      <vt:lpstr>'Notes 5-11'!Print_Area</vt:lpstr>
      <vt:lpstr>Sheet2!Print_Area</vt:lpstr>
      <vt:lpstr>Sheet4!Print_Area</vt:lpstr>
      <vt:lpstr>UHF!Print_Area</vt:lpstr>
      <vt:lpstr>'UHF Q working'!Print_Area</vt:lpstr>
      <vt:lpstr>'working for investmenst note'!Print_Titles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2015-10-30T10:02:38Z</cp:lastPrinted>
  <dcterms:created xsi:type="dcterms:W3CDTF">1996-10-14T23:33:28Z</dcterms:created>
  <dcterms:modified xsi:type="dcterms:W3CDTF">2015-11-02T05:18:11Z</dcterms:modified>
</cp:coreProperties>
</file>